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5480" windowHeight="10380" firstSheet="2" activeTab="2"/>
  </bookViews>
  <sheets>
    <sheet name="дод 3.1 не змінено" sheetId="1" state="hidden" r:id="rId1"/>
    <sheet name="дод 8 не змінено" sheetId="2" state="hidden" r:id="rId2"/>
    <sheet name="додаток 11" sheetId="3" r:id="rId3"/>
  </sheets>
  <definedNames>
    <definedName name="_xlnm.Print_Area" localSheetId="2">'додаток 11'!$A$1:$J$84</definedName>
  </definedNames>
  <calcPr fullCalcOnLoad="1"/>
</workbook>
</file>

<file path=xl/sharedStrings.xml><?xml version="1.0" encoding="utf-8"?>
<sst xmlns="http://schemas.openxmlformats.org/spreadsheetml/2006/main" count="738" uniqueCount="546">
  <si>
    <t>Департамент соціальної політики ЧМР</t>
  </si>
  <si>
    <t xml:space="preserve">Інші видатки </t>
  </si>
  <si>
    <t>Департамент житлово-комунального комплексу ЧМР</t>
  </si>
  <si>
    <t>100102</t>
  </si>
  <si>
    <t>100106</t>
  </si>
  <si>
    <t xml:space="preserve">Інші заходи у сфері електротранспорту </t>
  </si>
  <si>
    <t>210000</t>
  </si>
  <si>
    <t>210105</t>
  </si>
  <si>
    <t>210110</t>
  </si>
  <si>
    <t>240601</t>
  </si>
  <si>
    <t>240602</t>
  </si>
  <si>
    <t>Утилізація відходів</t>
  </si>
  <si>
    <t>240604</t>
  </si>
  <si>
    <t>240605</t>
  </si>
  <si>
    <t>Департамент архітектури, містобудування та інспектування ЧМР</t>
  </si>
  <si>
    <t>Департамент економіки та розвитку ЧМР</t>
  </si>
  <si>
    <t>230000</t>
  </si>
  <si>
    <t>Департамент фінансової політики ЧМР</t>
  </si>
  <si>
    <t>250102</t>
  </si>
  <si>
    <r>
      <t>Код програмної класифікації видатків та кредитування місцевого бюджету</t>
    </r>
    <r>
      <rPr>
        <vertAlign val="superscript"/>
        <sz val="8"/>
        <color indexed="10"/>
        <rFont val="Times New Roman"/>
        <family val="1"/>
      </rPr>
      <t>1</t>
    </r>
  </si>
  <si>
    <t xml:space="preserve">Охорона здоров'я </t>
  </si>
  <si>
    <t>0380</t>
  </si>
  <si>
    <t>оплата праці і нарахування на заробітну плату</t>
  </si>
  <si>
    <t xml:space="preserve">0829 </t>
  </si>
  <si>
    <t>120400</t>
  </si>
  <si>
    <t>0830</t>
  </si>
  <si>
    <t xml:space="preserve">0133 </t>
  </si>
  <si>
    <t xml:space="preserve">0910 </t>
  </si>
  <si>
    <t>0921</t>
  </si>
  <si>
    <t xml:space="preserve">0921 </t>
  </si>
  <si>
    <t>- цільовий фонд "Соціально-економічний розвиток міста"</t>
  </si>
  <si>
    <t>Департамент економіки і інвестицій міської ради</t>
  </si>
  <si>
    <t>* по надходженнях коштів за договорами про використання встановлених тимчасових конструкцій для господарських потреб (гаражів)</t>
  </si>
  <si>
    <t>Департамент архітектури, містобудування та кадастру міської ради, МКП "Архітектурно-будівельний сервіс"</t>
  </si>
  <si>
    <t>*по надходженнях коштів від списання основних засобів, які належать до комунальної власності територіальної громади міста та передані на баланс підприємств-постачальників житлово-комунальних послуг, електроенергії та газу безоплатно для експлуатації</t>
  </si>
  <si>
    <t>Департамент міського господарства міської ради</t>
  </si>
  <si>
    <t xml:space="preserve"> - цільовий фонд коштів соціальної і матеріальної підтримки громадян м. Вінниці  "Соціальний захист"</t>
  </si>
  <si>
    <t>Виконком міської ради</t>
  </si>
  <si>
    <t>- цільовий фонд міської ради на відновлення фасадів будинків, капітальний ремонт житлового фонду, інших будинків, які є власністю територіальної громади міста,  та благоустрій міста</t>
  </si>
  <si>
    <t xml:space="preserve"> - цільовий фонд міської ради для виготовлення технічної документації, оцінки і правоустановчих документів на об'єкти  комунальної  власності  </t>
  </si>
  <si>
    <t>Департамент комунальних ресурсів міської ради</t>
  </si>
  <si>
    <t xml:space="preserve"> - цільовий фонд міської ради з благоустрою міста</t>
  </si>
  <si>
    <t>Департамент комунального господарства та благоустрою міської ради</t>
  </si>
  <si>
    <t>в т.ч. по загальному фонду</t>
  </si>
  <si>
    <t>Профінансовано станом на 10.09.15</t>
  </si>
  <si>
    <t xml:space="preserve"> - цільовий фонд міської ради на реконструкцію інженерного обладнання будинків та інших робіт, пов'язаних з відключенням від систем центрального опалення та гарячого водопостачання  (ЦО та ГВП)</t>
  </si>
  <si>
    <t>Департамент житлового господарства міської ради</t>
  </si>
  <si>
    <t>24110900</t>
  </si>
  <si>
    <t>13050200</t>
  </si>
  <si>
    <r>
      <t xml:space="preserve">Плата за оренду землі  </t>
    </r>
    <r>
      <rPr>
        <sz val="14"/>
        <rFont val="Times New Roman CYR"/>
        <family val="1"/>
      </rPr>
      <t xml:space="preserve"> (згідно ст. 288 Податкового кодексу України контроль за сплатою орендної плати за землю покладено на податкові органи, але для збільшення надходжень до бюджету структурні підрозділи Черкаської міської ради проводять додаткові заходи)</t>
    </r>
  </si>
  <si>
    <t>13050500</t>
  </si>
  <si>
    <t>Директор департаменту фінансової політики</t>
  </si>
  <si>
    <t>Н.В. Джуган</t>
  </si>
  <si>
    <t>ВСЬОГО</t>
  </si>
  <si>
    <t xml:space="preserve">в т.ч.:  Міська програма здійснення заходів, що не могли бути передбачені під час складання міського бюджету та порядок надання матеріальної допомоги громадянам міста </t>
  </si>
  <si>
    <t xml:space="preserve">Програма "Призовна дільниця" </t>
  </si>
  <si>
    <t>Програма забезпечення правопорядку в м. Черкаси</t>
  </si>
  <si>
    <t>Програма сприяння здійсненню органами самоорганізації населення м. Черкаси  їхніх повноважень</t>
  </si>
  <si>
    <t xml:space="preserve">Програма нагородження громадян та трудових колективів за заслуги перед м. Черкаси відзнаками Черкаської міської ради, її виконавчого комітету та міського голови </t>
  </si>
  <si>
    <t xml:space="preserve">в т.ч. Програма захисту населення м.Черкаси від надзвичайних ситуацій техногенного і природного характеру </t>
  </si>
  <si>
    <t xml:space="preserve">в т.ч. Програма забезпечення рятувальних заходів на водних об'єктах м. Черкаси комунальною установою "Черкаська міська комунальна аварійно-рятувальна служба" </t>
  </si>
  <si>
    <t xml:space="preserve">в т.ч.  Програма розвитку земельних відносин в м.Черкаси </t>
  </si>
  <si>
    <t xml:space="preserve">Програма розвитку дизайну міського середовища та зовнішньої реклами </t>
  </si>
  <si>
    <t>в т.ч.  Міська програма управління об'єктами комунальної власності територіальної громади м. Черкаси</t>
  </si>
  <si>
    <t>Програма зайнятості населення м. Черкаси</t>
  </si>
  <si>
    <t xml:space="preserve">Програма підвищення енергоефективності та зменшення споживання енергоресурсів у місті Черкасах </t>
  </si>
  <si>
    <t>Програма сприяння розвитку підприємництва у м. Черкаси</t>
  </si>
  <si>
    <t>Програма заходів щодо розроблення стратегічного плану розвитку територіальної громади міста Черкаси</t>
  </si>
  <si>
    <t>в т.ч. Програма забезпечення правопорядку в м. Черкаси</t>
  </si>
  <si>
    <t>090201</t>
  </si>
  <si>
    <t>в т.ч. за рахунок субвенції з державного бюджету</t>
  </si>
  <si>
    <t>090202</t>
  </si>
  <si>
    <t>090204</t>
  </si>
  <si>
    <t>090207</t>
  </si>
  <si>
    <t>090212</t>
  </si>
  <si>
    <t>в т.ч. за рахунок субвенції з обласного бюджету</t>
  </si>
  <si>
    <t>090215</t>
  </si>
  <si>
    <t>090216</t>
  </si>
  <si>
    <t>090302</t>
  </si>
  <si>
    <t>090303</t>
  </si>
  <si>
    <t>090304</t>
  </si>
  <si>
    <t>090305</t>
  </si>
  <si>
    <t>090306</t>
  </si>
  <si>
    <t>090307</t>
  </si>
  <si>
    <t>090308</t>
  </si>
  <si>
    <t>090401</t>
  </si>
  <si>
    <t>090405</t>
  </si>
  <si>
    <t>090406</t>
  </si>
  <si>
    <t>090407</t>
  </si>
  <si>
    <t>Компенсація населенню додаткових витрат на оплату послуг газопостачання, центрального опалення та централізованого постачання гарячої води</t>
  </si>
  <si>
    <t>090412</t>
  </si>
  <si>
    <t>Інші видатки на соціальний захист населення</t>
  </si>
  <si>
    <t>090413</t>
  </si>
  <si>
    <t>090414</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</si>
  <si>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</si>
  <si>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090417</t>
  </si>
  <si>
    <t>091204</t>
  </si>
  <si>
    <t>091205</t>
  </si>
  <si>
    <t>Розподіл видатків міського бюджету на 2015 рік 
за головними розпорядниками коштів у розрізі бюджетних програм</t>
  </si>
  <si>
    <t>Код програмної класифікації видатків та кредитування місцевого бюджету</t>
  </si>
  <si>
    <t>0200000</t>
  </si>
  <si>
    <t>0210000</t>
  </si>
  <si>
    <t>0210080</t>
  </si>
  <si>
    <t>0217100</t>
  </si>
  <si>
    <t>0214800</t>
  </si>
  <si>
    <t>0217214</t>
  </si>
  <si>
    <t>0218600</t>
  </si>
  <si>
    <t>0300000</t>
  </si>
  <si>
    <t>Департамент управління справами та юридичного забезпечення ЧМР</t>
  </si>
  <si>
    <t>0310000</t>
  </si>
  <si>
    <t>0310080</t>
  </si>
  <si>
    <t>1000000</t>
  </si>
  <si>
    <t>1010080</t>
  </si>
  <si>
    <t>1011000</t>
  </si>
  <si>
    <t>1011010</t>
  </si>
  <si>
    <t xml:space="preserve"> Департамент охорони здоров'я та медичних послуг ЧМР</t>
  </si>
  <si>
    <t>Капітальний ремонт тротуарів по  вул. Вербовецького від вул. Орджонікідзе до бул. Шевченка, м.Черкаси</t>
  </si>
  <si>
    <t>Найменування
згідно з типовою програмною класифікацією видатків та кредитування місцевого бюджету</t>
  </si>
  <si>
    <t>1400000</t>
  </si>
  <si>
    <t>1410000</t>
  </si>
  <si>
    <t>1410080</t>
  </si>
  <si>
    <t xml:space="preserve"> Департамент соціальної політики ЧМР</t>
  </si>
  <si>
    <t>1510080</t>
  </si>
  <si>
    <t>1511070</t>
  </si>
  <si>
    <t>4000000</t>
  </si>
  <si>
    <t>4010000</t>
  </si>
  <si>
    <t>4010080</t>
  </si>
  <si>
    <t>4016000</t>
  </si>
  <si>
    <t>4016021</t>
  </si>
  <si>
    <t>4016052</t>
  </si>
  <si>
    <t>4016060</t>
  </si>
  <si>
    <t>4016600</t>
  </si>
  <si>
    <t>4016640</t>
  </si>
  <si>
    <t>4016650</t>
  </si>
  <si>
    <t>4017800</t>
  </si>
  <si>
    <t>4017810</t>
  </si>
  <si>
    <t>4017820</t>
  </si>
  <si>
    <t>4019100</t>
  </si>
  <si>
    <t>4019110</t>
  </si>
  <si>
    <t>4019120</t>
  </si>
  <si>
    <t>4019140</t>
  </si>
  <si>
    <t>4019150</t>
  </si>
  <si>
    <t>4800000</t>
  </si>
  <si>
    <t>4810000</t>
  </si>
  <si>
    <t>4810080</t>
  </si>
  <si>
    <t>4811010</t>
  </si>
  <si>
    <t>4811020</t>
  </si>
  <si>
    <t>4813104</t>
  </si>
  <si>
    <t>4816053</t>
  </si>
  <si>
    <t>48150240</t>
  </si>
  <si>
    <t>4816310</t>
  </si>
  <si>
    <t>4816330</t>
  </si>
  <si>
    <t>4816650</t>
  </si>
  <si>
    <t>4818600</t>
  </si>
  <si>
    <t>7300000</t>
  </si>
  <si>
    <t>7310000</t>
  </si>
  <si>
    <t>7310080</t>
  </si>
  <si>
    <t xml:space="preserve"> Департамент фінансової політики ЧМР</t>
  </si>
  <si>
    <t>7500000</t>
  </si>
  <si>
    <t>7510000</t>
  </si>
  <si>
    <t>7510080</t>
  </si>
  <si>
    <t>7519010</t>
  </si>
  <si>
    <t>7518600</t>
  </si>
  <si>
    <t>7600000</t>
  </si>
  <si>
    <t>7610000</t>
  </si>
  <si>
    <t>7618010</t>
  </si>
  <si>
    <t>7618120</t>
  </si>
  <si>
    <t>Керівництво і управління у відповідній сфері у містах республіканського Автономної Республіки Крим та обласного значення</t>
  </si>
  <si>
    <t>Інші правоохоронні заходи і заклади</t>
  </si>
  <si>
    <t>Iншi культурно-освiтнi заклади та заходи</t>
  </si>
  <si>
    <t>Підтримка електронних та інших засобів масової інформації, реалізація заходів у галузі «Засоби масової інформації» та моніторинг інформаційного середовища</t>
  </si>
  <si>
    <t>Дошкільна освіта</t>
  </si>
  <si>
    <t>Дошкільна освiта</t>
  </si>
  <si>
    <t>Надання загальної середньої освіти вечiрнiми (змінними) школами</t>
  </si>
  <si>
    <t>Надання позашкільної освіти позашкільними закладами освіти, заходи із позашкільної роботи з дітьми</t>
  </si>
  <si>
    <t>Придбання, доставка та зберігання підручників і посібників</t>
  </si>
  <si>
    <t>Методичне забезпечення діяльності навчальних закладів та інші заходи в галузі освіти</t>
  </si>
  <si>
    <t>Централізоване ведення бухгалтерського обліку</t>
  </si>
  <si>
    <t>Здійснення  централізованого господарського обслуговування</t>
  </si>
  <si>
    <t>Утримання інших закладів освіти</t>
  </si>
  <si>
    <t>Надання допомоги дітям-сиротам та дітям, позбавленим батьківського піклування, яким виповнюється 18 років</t>
  </si>
  <si>
    <t>Утримання центрів соціальних служб для сім'ї, дітей та молоді</t>
  </si>
  <si>
    <t>Програми і заходи центрів соціальних служб для сім'ї, дітей та молоді</t>
  </si>
  <si>
    <t>Заходи державної політики з питань молоді</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</si>
  <si>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</si>
  <si>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Палаци і будинки культури, клуби та інші заклади клубного типу</t>
  </si>
  <si>
    <t>Проведення навчально-тренувальних зборів і змагань з олімпійських видів спорту</t>
  </si>
  <si>
    <t>Утримання та навчально-тренувальна робота дитячо-юнацьких спортивних шкіл</t>
  </si>
  <si>
    <t>Фінансова підтримка спортивних споруд</t>
  </si>
  <si>
    <t>Централізований бухгалтерський та фінансовий облік в сфері фізичної культури і спорту</t>
  </si>
  <si>
    <t>Реалізація заходів щодо інвестиційного розвитку території</t>
  </si>
  <si>
    <t xml:space="preserve">Програма розроблення містобудівної документації </t>
  </si>
  <si>
    <t>Надання загальної середньої освіти загальноосвітніми навчальними закладами (в т.ч. школою-дитячим садком, інтернатом при школі), спеціалізованими школами, ліцеями, гімназіями, колегіумами</t>
  </si>
  <si>
    <t>№ з/п</t>
  </si>
  <si>
    <t>№ Дії Програми соціально-економічного та культурного розвитку</t>
  </si>
  <si>
    <t>Назва напрямків</t>
  </si>
  <si>
    <t xml:space="preserve">Разом  видатків на поточний рік 
</t>
  </si>
  <si>
    <t>1.1</t>
  </si>
  <si>
    <t>1.2</t>
  </si>
  <si>
    <t>2.1</t>
  </si>
  <si>
    <t>3.1</t>
  </si>
  <si>
    <t>ВИДАТКИ</t>
  </si>
  <si>
    <t xml:space="preserve">  на проведення робіт, пов'язаних із будівництвом, реконструкцією, ремонтом та утриманням автомобільних доріг у 2015 році</t>
  </si>
  <si>
    <t>(грн.)</t>
  </si>
  <si>
    <t xml:space="preserve">ГОЛОВНИЙ РОЗПОРЯДНИК КОШТІВ - ДЕПАРТАМЕНТ ЖИТЛОВО-КОМУНАЛЬНОГО КОМПЛЕКСУ </t>
  </si>
  <si>
    <t>Видатки на проведення робіт, пов'язаних із будівництвом, реконструкцією, ремонтом та утриманням автомобільних доріг (КТКВК 170703)</t>
  </si>
  <si>
    <t>Поточні видатки</t>
  </si>
  <si>
    <t xml:space="preserve"> -  на проведення термінового (аварійного) поточного ремонту вулично-дорожньої мережі</t>
  </si>
  <si>
    <t>Поточний ремонт вулично-дорожньої мережі (в т.ч. на погашення кредиторської заборгованості 2014 року - 241,3344 тис.грн.)</t>
  </si>
  <si>
    <t>Обстеження об'єктів вулично-дорожньої мережі</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</si>
  <si>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</si>
  <si>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</si>
  <si>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Пільгове медичне обслуговування осіб, які постраждали внаслідок Чорнобильської катастрофи</t>
  </si>
  <si>
    <t>Надання пільг багатодітним сім'ям на житлово-комунальні послуги</t>
  </si>
  <si>
    <t>Надання пільг багатодітним сім'ям на придбання твердого палива та скрапленого газу</t>
  </si>
  <si>
    <t>Надання допомоги у зв'язку з вагітністю і пологами</t>
  </si>
  <si>
    <t>Надання допомоги на догляд за дитиною віком до трьох років</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</si>
  <si>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</si>
  <si>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</si>
  <si>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</si>
  <si>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</si>
  <si>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допомоги при усиновленні дитини</t>
  </si>
  <si>
    <t>Надання державної соціальної допомоги малозабезпеченим сім'ям</t>
  </si>
  <si>
    <t>Надання субсидій населенню для відшкодування витрат на оплату житлово-комунальних послуг</t>
  </si>
  <si>
    <t>Надання субсидій населенню для відшкодування витрат на придбання твердого та рідкого пічного побутового палива і скрапленого газу</t>
  </si>
  <si>
    <t xml:space="preserve">Програма розвитку персоналу та депутатів органів місцевого самоврядування м. Черкаси </t>
  </si>
  <si>
    <t>Реконструкція вул. Менделєєва від вул. Дахнівська до вул. Санаторної (з ПКД) (кредиторська заборгованість 2014 року)</t>
  </si>
  <si>
    <t>170703</t>
  </si>
  <si>
    <t>Надання допомоги на догляд за інвалідом I чи II групи внаслідок психічного розладу</t>
  </si>
  <si>
    <t>Видатки на поховання учасників бойових дій та інвалідів війни</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</si>
  <si>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</si>
  <si>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</si>
  <si>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</si>
  <si>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Надання фінансової підтримки громадським організаціям інвалідів і ветеранів, діяльність яких має соціальну спрямованість</t>
  </si>
  <si>
    <t>Надання державної соціальної допомоги інвалідам з дитинства та дітям-інвалідам</t>
  </si>
  <si>
    <t>Компенсаційні виплати інвалідам на бензин, ремонт, технічне обслуговування автомобілів, мотоколясок і на транспортне обслуговування</t>
  </si>
  <si>
    <t>Встановлення телефонів інвалідам І і ІІ груп</t>
  </si>
  <si>
    <t>Капітальний ремонт житлового фонду</t>
  </si>
  <si>
    <t>Забезпечення функціонування водопровідно-каналізаційного господарства</t>
  </si>
  <si>
    <t>Видатки на запобігання та ліквідацію надзвичайних ситуацій та наслідків стихійного лиха</t>
  </si>
  <si>
    <t>Організація рятування на водах</t>
  </si>
  <si>
    <t>Охорона та раціональне використання природних ресурсів</t>
  </si>
  <si>
    <t>Фінансова підтримка комунальних спортивних споруд</t>
  </si>
  <si>
    <t>Проведення невідкладних відновлювальних робіт, будівництво та  реконструкція загальноосвітніх навчальних закладів</t>
  </si>
  <si>
    <t>Кошти, що передаються до державного бюджету з бюджету Автономної Республіки Крим, обласних і районних бюджетів, міських (міст Києва та Севастополя, міст республіканського Автономної Республіки Крим та обласного значення) бюджетів, інших бюджетів місцевого самоврядування, для яких у державному бюджеті визначаються міжбюджетні трансферти</t>
  </si>
  <si>
    <t>Будівництво  пішохідних тротуарів (з ПКД) (згідно переліку, затвердженого рішенням виконавчого комітету) (кредиторська заборгованість 2014 року)</t>
  </si>
  <si>
    <t>Реконструкція пішохідних тротуарів (з ПКД) (згідно переліку, затвердженого рішенням виконавчого комітету) (кредиторська заборгованість 2014 року)</t>
  </si>
  <si>
    <t>Капітальний ремонт  пішохідних тротуарів (з ПКД) (згідно переліку, затвердженого рішенням виконавчого комітету) (кредиторська заборгованість 2014 року)</t>
  </si>
  <si>
    <t>Реконструкція із застосуванням щебенево-мастичного асфальтобетону вул. Гагаріна від узвозу Клубний до автостради Н-16, м. Черкаси (з ПКД) (кредиторська заборгованість 2014 року)</t>
  </si>
  <si>
    <t xml:space="preserve"> Капітальний ремонт внутрішньоквартального проїзду з вул.Гоголя до буд.580 в м.Черкаси (з ПКД) (кредиторська заборгованість 2014 року)</t>
  </si>
  <si>
    <t>Капітальний ремонт внутрішньоквартального проїзду з вул.Пастерівської до буд.Пилипенка, 10 в м.Черкаси (з ПКД) (кредиторська заборгованість 2014 року)</t>
  </si>
  <si>
    <t>з них: фінансова підтримка КП "Муніципальне інформаційне агенство "Черкаси"</t>
  </si>
  <si>
    <t>Оплата експертно-консультаційних послуг, пов'язаних з будівництвом, реконструкцією, ремонтом та утриманням вулично-дорожньої мережі</t>
  </si>
  <si>
    <t>Капітальні видатки</t>
  </si>
  <si>
    <t>Капітальний ремонт вул. Гагаріна (встановлення світлофору біля будинку № 21 в м.Черкаси) (з ПКД)</t>
  </si>
  <si>
    <t>Капітальний ремонт вул. Г. Сталінграда (встановлення світлофору на перехресті з вул.Орджонікідзе)</t>
  </si>
  <si>
    <t>Реконструкція вул. Сурікова</t>
  </si>
  <si>
    <t>Капітальний ремонт шляхопроводу просп. Хіміків (з ПКД)</t>
  </si>
  <si>
    <t>Капітальний ремонт тротуару від Алеї Путейко (за церквою) до входу у дитячий садок №87 "Дельфін" та житлового будинку по вул. Ярославська,36</t>
  </si>
  <si>
    <t xml:space="preserve">Капітальний ремонт тротуару по вул. Корольова (парна сторона,від вул. Сумгаїтської до квартального проїзду буд.№14 та №16) </t>
  </si>
  <si>
    <t>Капітальний ремонт тротуару від Алеї Путейко вздовж будинку по вул. Ярославській, №36 у напрямку входу до ЗОШ №30</t>
  </si>
  <si>
    <t>Капітальний ремонт мереж зливової каналізації по провулку Герцена в м.Черкаси</t>
  </si>
  <si>
    <t>Капітальний ремонт мережі зливової каналізації по вул.Гоголя від вул.Пушкіна до вул.Котовського в м.Черкаси</t>
  </si>
  <si>
    <t>Капітальний ремонт вулично-дорожньої мережі (влаштування пандусів)</t>
  </si>
  <si>
    <t xml:space="preserve">ГОЛОВНИЙ РОЗПОРЯДНИК КОШТІВ - ДЕПАРТАМЕНТ АРХІТЕКТУРИ, МІСТОБУДУВАННЯ ТА ІНСПЕКТУВАННЯ </t>
  </si>
  <si>
    <t xml:space="preserve"> Капітальні вкладення (КТКВК 150101)</t>
  </si>
  <si>
    <t>ВСЬОГО ВИДАТКІВ</t>
  </si>
  <si>
    <t>Капітальний ремонт вул. Байди Вишневецького від Замкового узвозу до вул. Хрещатик</t>
  </si>
  <si>
    <t xml:space="preserve"> -  на проведення поточного ремонту та утримання об'єктів вулично-дорожньої мережі</t>
  </si>
  <si>
    <t>Відсоток виконання до плану  9 місяців</t>
  </si>
  <si>
    <t xml:space="preserve">Дитячі будинки (в т. ч. сімейного типу, прийомні сім'ї) </t>
  </si>
  <si>
    <t>0922</t>
  </si>
  <si>
    <t>Спеціальні загальноосвітні школи-інтернати, школи та інші заклади освіти для дітей з вадами у фізичному чи розумовому розвитку</t>
  </si>
  <si>
    <t xml:space="preserve">0960 </t>
  </si>
  <si>
    <t>0970 </t>
  </si>
  <si>
    <t xml:space="preserve">0990 </t>
  </si>
  <si>
    <t>0990</t>
  </si>
  <si>
    <t>091101</t>
  </si>
  <si>
    <t>1040</t>
  </si>
  <si>
    <t>091102</t>
  </si>
  <si>
    <t>091103</t>
  </si>
  <si>
    <t>091106</t>
  </si>
  <si>
    <t>091108</t>
  </si>
  <si>
    <t xml:space="preserve">Культура і мистецтво </t>
  </si>
  <si>
    <t>110201</t>
  </si>
  <si>
    <t>110204</t>
  </si>
  <si>
    <t>110205</t>
  </si>
  <si>
    <t>0824</t>
  </si>
  <si>
    <t>0828</t>
  </si>
  <si>
    <t xml:space="preserve">Школи естетичного виховання дітей </t>
  </si>
  <si>
    <t>0960</t>
  </si>
  <si>
    <t>0829</t>
  </si>
  <si>
    <t>Інші культурно-освітні заклади та заходи </t>
  </si>
  <si>
    <t>130102</t>
  </si>
  <si>
    <t>130107</t>
  </si>
  <si>
    <t>130110</t>
  </si>
  <si>
    <t>130113</t>
  </si>
  <si>
    <t>0810</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</si>
  <si>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</si>
  <si>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0731</t>
  </si>
  <si>
    <t>0733</t>
  </si>
  <si>
    <t>0721</t>
  </si>
  <si>
    <t>0722</t>
  </si>
  <si>
    <t>0763</t>
  </si>
  <si>
    <t>150114</t>
  </si>
  <si>
    <t>100000</t>
  </si>
  <si>
    <t xml:space="preserve">Житлово-комунальне господарство </t>
  </si>
  <si>
    <t>100202</t>
  </si>
  <si>
    <t>100203</t>
  </si>
  <si>
    <t>0610</t>
  </si>
  <si>
    <t xml:space="preserve">Капітальний ремонт житлового фонду об'єднань співвласників багатоквартирних будинків </t>
  </si>
  <si>
    <t>0620</t>
  </si>
  <si>
    <t>170000</t>
  </si>
  <si>
    <t xml:space="preserve">Транспорт, дорожнє господарство, зв'язок, телекомунікації та інформатика </t>
  </si>
  <si>
    <t>170603</t>
  </si>
  <si>
    <t>0455</t>
  </si>
  <si>
    <t>0320</t>
  </si>
  <si>
    <t>240000</t>
  </si>
  <si>
    <t>0511</t>
  </si>
  <si>
    <t>0512</t>
  </si>
  <si>
    <t>0540</t>
  </si>
  <si>
    <t>Інша діяльність у сфері охорони навколишнього природного середовища </t>
  </si>
  <si>
    <t xml:space="preserve">Збереження природно-заповідного фонду </t>
  </si>
  <si>
    <t>0520</t>
  </si>
  <si>
    <t xml:space="preserve">Обслуговування боргу </t>
  </si>
  <si>
    <t>0133</t>
  </si>
  <si>
    <t>Резервний фонд </t>
  </si>
  <si>
    <t xml:space="preserve">Департамент архітектури, містобудування та інспектування Черкаської міської ради  </t>
  </si>
  <si>
    <t>Фінансова підтримка КП "ЧЕЛУАШ" на проведення термінового (аварійного) поточного ремонту вулично-дорожньої мережі</t>
  </si>
  <si>
    <t>Департамент фінансової політики Черкаської міської ради оперативний контроль за станом  розрахунків  з бюджетом за укладеними договорами</t>
  </si>
  <si>
    <t>Плата за пайову участь в утриманні об’єктів благоустрою</t>
  </si>
  <si>
    <t xml:space="preserve">Департамент архітектури, містобудування та інспектування Черкаської міської ради </t>
  </si>
  <si>
    <t>24170000</t>
  </si>
  <si>
    <t>31030000</t>
  </si>
  <si>
    <t>Кошти від відчуження майна, що перебуває в комунальній власності</t>
  </si>
  <si>
    <t>33010000</t>
  </si>
  <si>
    <t>Кошти від продажу землі</t>
  </si>
  <si>
    <t>50110000</t>
  </si>
  <si>
    <t xml:space="preserve">Цільові фонди, утворені органами місцевого самоврядування </t>
  </si>
  <si>
    <t>в тому числі:</t>
  </si>
  <si>
    <t>- цільовий фонд містобудівного розвитку</t>
  </si>
  <si>
    <t>Департамент архітектури, містобудування та кадастру міської ради</t>
  </si>
  <si>
    <t>- цільовий фонд охорони культурної спадщини</t>
  </si>
  <si>
    <t>Назва 
виконавчого органу міської ради</t>
  </si>
  <si>
    <t>1090 </t>
  </si>
  <si>
    <t>1010 </t>
  </si>
  <si>
    <t>1020 </t>
  </si>
  <si>
    <t>0490 </t>
  </si>
  <si>
    <t>0456 </t>
  </si>
  <si>
    <t>0921 </t>
  </si>
  <si>
    <t>0620 </t>
  </si>
  <si>
    <t>0810 </t>
  </si>
  <si>
    <r>
      <t>0170</t>
    </r>
    <r>
      <rPr>
        <sz val="12"/>
        <rFont val="Times New Roman"/>
        <family val="1"/>
      </rPr>
      <t> </t>
    </r>
  </si>
  <si>
    <t>0133 </t>
  </si>
  <si>
    <t>медикаменти</t>
  </si>
  <si>
    <t>харчування</t>
  </si>
  <si>
    <t>250301</t>
  </si>
  <si>
    <t>0180</t>
  </si>
  <si>
    <t>кошти, що передаються із загального фонду бюджету до бюджету розвитку (спеціального фонду)</t>
  </si>
  <si>
    <t>Благоустрій міст, сіл, селищ</t>
  </si>
  <si>
    <t>090203</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</si>
  <si>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</si>
  <si>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090209</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</si>
  <si>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</si>
  <si>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090214</t>
  </si>
  <si>
    <t>Надання пільг окремим категоріям громадян з оплати послуг зв'язку</t>
  </si>
  <si>
    <t>170302</t>
  </si>
  <si>
    <t>170602</t>
  </si>
  <si>
    <t>Компенсаційні виплати за пільговий проїзд окремих категорій громадян на залізничному транспорті</t>
  </si>
  <si>
    <t>4013037</t>
  </si>
  <si>
    <t>4013038</t>
  </si>
  <si>
    <t>Компенсаційні виплати на пільговий проїзд електротранспортом окремим категоріям громадян</t>
  </si>
  <si>
    <t>за рахунок субвенцій з обласного бюджету</t>
  </si>
  <si>
    <t>Додаток № 3.1
до рішення міської ради
"Про міський бюджет на 2015 рік"
від 23.01.2015 № 2-688</t>
  </si>
  <si>
    <t>Додаток № 8
до рішення міської ради
"Про міський бюджет на 2015 рік"
від 23.01.2015 № 2-688</t>
  </si>
  <si>
    <t>091207</t>
  </si>
  <si>
    <t>091209</t>
  </si>
  <si>
    <t>091300</t>
  </si>
  <si>
    <t>091303</t>
  </si>
  <si>
    <t>Залишок призначень до плану 8 місяців</t>
  </si>
  <si>
    <t>091304</t>
  </si>
  <si>
    <t>за рахунок субвенції з обласного бюджету</t>
  </si>
  <si>
    <t>Капітальний ремонт мереж зливової каналізації</t>
  </si>
  <si>
    <t>Капітальний ремонт вул.Університетської від вул.Хрещатик до вул.Кавказької (в т.ч. кредиторська заборгованість 2014 року - 44077,15 грн.)</t>
  </si>
  <si>
    <t>Капітальний ремонт вул.Вербовецького від вул. Толстого до вул.Портової (в т.ч. кредиторська заборгованість 2014 року - 156953,04 грн.)</t>
  </si>
  <si>
    <t>Капітальний ремонт вул. Одеська  від вул. Лісова Просіка до вул. Онопрієнка (кредиторська заборгованість 2014 року - 11559,33 грн. )</t>
  </si>
  <si>
    <t>Капітальний ремонт вул. Канівська (в т.ч. кредиторська заборгованість 2014 року - 745220,14 грн.)</t>
  </si>
  <si>
    <t>Капітальний ремонт вул.Кірова (від бул. Шевченка до вул. Хрещатик) (з ПКД)</t>
  </si>
  <si>
    <t xml:space="preserve">Реконструкція із застосуванням щебенево-мастичного афальтобетону проспекту Хіміків від вул. Смілянська до вул. Першотравневої в м. Черкаси </t>
  </si>
  <si>
    <t>Капітальний ремонт проїздів по вул. Чехова 106,108,110; вул. Горького 130;  вул. Ватутіна 173, 173/1, 173/2, Чехова 54,56, Петровського 185, 187</t>
  </si>
  <si>
    <t>Капітальний ремонт тротуару парної сторони вул. Горького від вул. Орджонікідзе до бул. Шевченка, м. Черкаси (кредиторська заборгованість 2014 року - 49960,56 грн.)</t>
  </si>
  <si>
    <t>Капітальний ремонт внутрішньоквартального проїзду з вул. Ватутіна до буд. № 239 (в т.ч. кредиторська заборгованість 2014 року - 9297,6 грн.)</t>
  </si>
  <si>
    <t>Реконструкція пров. Зелений від пров. Айвазовського до вул. Бидгощської м. Черкаси (з ПКД) (в т.ч. кредиторська заборгованість 2014 року - 12769,00 грн)</t>
  </si>
  <si>
    <t>Реконструкція вул. Героїв Дніпра (з ПКД)  ( в т.ч. кредиторська заборгованість 2014 року - 99850,0 грн.)</t>
  </si>
  <si>
    <t>Капітальний ремонт внутрішньоквартального проїзду з вул.Горького до буд.12/1; 12/2 в м.Черкаси (з ПКД) (в т.ч. кредиторська заборгованість 2014 року - 825,71 грн.)</t>
  </si>
  <si>
    <t>Капітальний ремонт внутрішньоквартального проїзду з вул. В. Чорновола до буд. 120/1 та буд. 120/2 м. Черкаси (з ПКД) ( в т.ч. кредиторська заборгованість 2014 року - 95769,11 грн.)</t>
  </si>
  <si>
    <t>Капітальний ремонт внутрішньоквартального проїзду з вул. В. Чорновола до буд. вул. Гвардійської, 31/1 з установкою бордюрного каменя м. Черкаси (з ПКД) ( в т.ч. кредиторська заборгованість 2014 року -108605,17 грн.)</t>
  </si>
  <si>
    <t>Капітальний ремонт внутрішньоквартального проїзду пров. Коцюбинського між вул. Пастерівської та Р. Люксембург м. Черкаси (з ПКД) (в т.ч. кредиторська заборгованість 2014 року - 4193,05 грн.)</t>
  </si>
  <si>
    <t>Будівництво дороги в лісовому масиві  від вул. Мендєлєєва до вул. Ярослава Галана  (продовження)</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</si>
  <si>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</si>
  <si>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Котовського від вул. Хрещатик до вул. Одеської (з ПКД)</t>
  </si>
  <si>
    <t>Реконструкція із застосуванням щебенево-мастичного асфальтобетону вул. Хрещатик від вул. Котовського до вул. Леніна (з ПКД)</t>
  </si>
  <si>
    <t>Реконструкція із застосуванням щебенево-мастичного асфальтобетону вул. Смілянської від вул. Фрунзе до вул. 30- річчя Перемоги (з ПКД)</t>
  </si>
  <si>
    <t>Реконструкція із застосуванням щебенево-мастичного асфальтобетону вул. Енгельса від бульв. Шевченка до вул. Бидгощської (з ПКД)</t>
  </si>
  <si>
    <t>Реконструкція із застосуванням щебенево-мастичного асфальтобетону вул. Ільїна від вул. Котовського до вул. Енгельса (з ПКД)</t>
  </si>
  <si>
    <t>Реконструкція із застосуванням щебенево-мастичного асфальтобетону вул. Благовісної від вул. Котовського до вул. Енгельса (з ПКД)</t>
  </si>
  <si>
    <t>Реконструкція  вул. Молоткова, м. Черкаси (з ПКД)</t>
  </si>
  <si>
    <t>Будівництво тротуару парної сторони вул. Хоменка напроти житлового будинку № 18, м. Черкаси</t>
  </si>
  <si>
    <t xml:space="preserve">Будівництво тротуару непарної сторони вул. Калініна вздовж житлових будинків  №103 та №105, м. Черкаси </t>
  </si>
  <si>
    <t>Будівництво частини тротуару парної сторони вул. Богдана Хмельницького від вул. Героїв Дніпра до вул. Гагаріна, м. Черкаси</t>
  </si>
  <si>
    <t>Будівництво тротуару від вул. Смаглія до будівельного ліцею, м. Черкаси</t>
  </si>
  <si>
    <t>Реконструкція вул. Гагаріна від вул. Сержанта Жужоми до узвозу Клубний (з ПКД)</t>
  </si>
  <si>
    <t>Капітальний ремонт тротуару парної сторони вул. Бидгощської від вул. Пастерівської  до вул. Рози Люксембург, м. Черкаси</t>
  </si>
  <si>
    <t xml:space="preserve">Реконструкція тротуару непарної сторони вул. Героїв Сталінграда від вул. Калініна до вул. Орджонікідзе, м. Черкаси </t>
  </si>
  <si>
    <t>Реконструкція тротуару непарної сторони вул. Громова від вул. Коцюбинського до вул. Чіковані під алею, м. Черкаси</t>
  </si>
  <si>
    <t xml:space="preserve">Реконструкція тротуару в сквері "Подих Дніпра" між житловими будинками №42 та №38 вздовж житлового будинку по вул. Героїв Сталінграду, 40, м. Черкаси </t>
  </si>
  <si>
    <t>Реконструкція тротуарів по вул. Крилова від бул. Шевченка до пров. Ломоносова та вул. Ломоносова відповідно, м. Черкаси</t>
  </si>
  <si>
    <t>Капітальний ремонт тротуару непарної сторони вул. Горького від бул. Шевченка до вул. Гоголя, м. Черкаси</t>
  </si>
  <si>
    <t>Капітальний ремонт тротуарів парної сторони вул. В'ячеслава Чорновола від вул. Бидгощської до вул. Радянської, м. Черкаси</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</si>
  <si>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</si>
  <si>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пішохідних доріжок по вул. Кірова від бул. Шевченка до вул. Хрещатик в м. Черкаси (непарна сторона), з ПКД</t>
  </si>
  <si>
    <t xml:space="preserve">Будівництво проїздів до пляжу для людей з особливими потребами напроти будинків по вул. Смірнова, 2 та Г. Дніпра, 49 (з ПКД) </t>
  </si>
  <si>
    <t xml:space="preserve">лютий </t>
  </si>
  <si>
    <t>березень</t>
  </si>
  <si>
    <t xml:space="preserve">квітень </t>
  </si>
  <si>
    <t>травень</t>
  </si>
  <si>
    <t>червень</t>
  </si>
  <si>
    <t>липень</t>
  </si>
  <si>
    <t>серпень</t>
  </si>
  <si>
    <t>вересень</t>
  </si>
  <si>
    <t>жовтень</t>
  </si>
  <si>
    <t>листопад</t>
  </si>
  <si>
    <t>грудень</t>
  </si>
  <si>
    <t>ЗФ</t>
  </si>
  <si>
    <t>СФ</t>
  </si>
  <si>
    <t>БР</t>
  </si>
  <si>
    <t>Роботи з проектування будівництва, реконструкції та ремонту доріг (кредиторська заборгованість 2014 р)</t>
  </si>
  <si>
    <t>Проведення невідкладних відновлювальних робіт, будівництво та реконструкція загальноосвітніх навчальних закладів</t>
  </si>
  <si>
    <t>Проведення невідкладних відновлювальних робіт, будівництво та реконструкція позашкільних навчальних закладів</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</si>
  <si>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</si>
  <si>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Багатопрофільна стаціонарна медична допомога населенню</t>
  </si>
  <si>
    <t>Лікарсько-акушерська допомога  вагітним, породіллям та новонародженим</t>
  </si>
  <si>
    <t>Амбулаторно-поліклінічна допомога населенню</t>
  </si>
  <si>
    <t>Надання стоматологічної допомоги населенню</t>
  </si>
  <si>
    <t>Інші заходи в галузі охорони здоров’я</t>
  </si>
  <si>
    <t>Проведення невідкладних відновлювальних робіт, будівництво та реконструкція лікарень загального профілю</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</si>
  <si>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</si>
  <si>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</si>
  <si>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</si>
  <si>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в т.ч. Програма забезпечення проведення профілактичних медичних оглядів працівників установ та закладів освіти, культури, фізичної культури і спорту, закладів роботи з молоддю департаменту освіти та гуманітарної політики підпорядкованих Черкаської міської ради до 2017 року</t>
  </si>
  <si>
    <t>250913</t>
  </si>
  <si>
    <t>Видатки на проведення робіт, пов'язаних із будівництвом, реконструкцією, ремонтом та утриманням автомобільних доріг</t>
  </si>
  <si>
    <r>
      <t>Запобігання та ліквідація надзвичайних ситуацій та наслідків стихійного лиха</t>
    </r>
    <r>
      <rPr>
        <b/>
        <sz val="11"/>
        <color indexed="8"/>
        <rFont val="Times New Roman"/>
        <family val="1"/>
      </rPr>
      <t> </t>
    </r>
  </si>
  <si>
    <t>Програма захисту населення м.Черкаси від надзвичайних ситуацій техногенного і природного характеру</t>
  </si>
  <si>
    <t xml:space="preserve">в т.ч. Програма управління місцевим боргом та забезпечення обігу муніципальних облігацій у м. Черкаси </t>
  </si>
  <si>
    <t>в т.ч. за рахунок медичної субвенції з державного бюджету</t>
  </si>
  <si>
    <t>у т.ч. субвенція з обласного бюджету на фінансову підтримку організації харчування дітей у навчальних закладах області, які переміщуються з тимчасово окупованої території України та районів проведення антитерористичної операції на територію Черкаської області</t>
  </si>
  <si>
    <t>в т.ч. субвенція з обласного бюджету на виплату обласних стипендій переможцям III етапу  всеукраїнських учнівських олімпіад з базових дисциплін та II  етапу-конкурсу - захисту науково-дослідницьких робіт учнів-членів Малої академії академічних наук</t>
  </si>
  <si>
    <t>субвенція з обласного бюджету на фінансову підтримку організації харчування дітей у навчальних закладах області, які переміщуються з тимчасово окупованої території України та районів проведення антитерористичної операції на територію Черкаської області</t>
  </si>
  <si>
    <t>освітня субвенція з державного бюджету</t>
  </si>
  <si>
    <t>в т.ч. освітня субвенція з державного бюджету</t>
  </si>
  <si>
    <t>в т.ч. медична субвенція з державного бюджету</t>
  </si>
  <si>
    <t>0910 </t>
  </si>
  <si>
    <t>1030 </t>
  </si>
  <si>
    <t>1070 </t>
  </si>
  <si>
    <t>1040 </t>
  </si>
  <si>
    <t xml:space="preserve">Перелік виконавчих органів міської ради, на які покладено контроль за справлянням надходжень до міського бюджету м. Черкаси в 2015 році
</t>
  </si>
  <si>
    <t>Найменування доходів
згідно із бюджетною класифікацією</t>
  </si>
  <si>
    <t>21050000</t>
  </si>
  <si>
    <t>Департамент фінансової політики Черкаської міської ради</t>
  </si>
  <si>
    <t>21081100</t>
  </si>
  <si>
    <t>Адміністративна комісія при виконавчому комітеті Черкаської міської ради</t>
  </si>
  <si>
    <t>Департамент фінансової політики Черкаської міської ради в частині підтвердження  фактичних надходжень до бюджету</t>
  </si>
  <si>
    <t>22080400</t>
  </si>
  <si>
    <t>Департамент економіки та розвитку Черкаської міської ради</t>
  </si>
  <si>
    <t>24060300</t>
  </si>
  <si>
    <t>Плата за право тимчасового користування місцями на розміщення зовнішньої реклами</t>
  </si>
  <si>
    <t>Плата за розміщення тимчасово вільних коштів місцевих бюджетів</t>
  </si>
  <si>
    <t>Адміністративні штрафи та інші санкції</t>
  </si>
  <si>
    <t>Надходження від орендної плати за користування цілісним майновим комплексом та іншим майном, що перебуває в комунальній власності</t>
  </si>
  <si>
    <t>Програма соціально-економічного та культурного розвитку міста Черкаси</t>
  </si>
  <si>
    <t>субвенції</t>
  </si>
  <si>
    <t>Відсотки за користування довгостроковим кредитом, що надається з місцевих бюджетів молодим сім'ям та одиноким молодим громадянам на будівництво (реконструкцію) та придбання житла</t>
  </si>
  <si>
    <t>Надходження коштів пайової участі у розвитку інфраструктури населеного пункту</t>
  </si>
  <si>
    <t>Код</t>
  </si>
  <si>
    <t>Цільові фонди</t>
  </si>
  <si>
    <t>Загальний фонд</t>
  </si>
  <si>
    <t>Спеціальний фонд</t>
  </si>
  <si>
    <t>Разом</t>
  </si>
  <si>
    <t>Всього</t>
  </si>
  <si>
    <t>видатки споживання</t>
  </si>
  <si>
    <t>з них</t>
  </si>
  <si>
    <t>видатки розвитку</t>
  </si>
  <si>
    <t>комунальні послуги та енергоносії</t>
  </si>
  <si>
    <t>0111</t>
  </si>
  <si>
    <t>Код функціональної класифікації видатків та кредитування бюджету</t>
  </si>
  <si>
    <t>…</t>
  </si>
  <si>
    <t>…..</t>
  </si>
  <si>
    <t>0100000</t>
  </si>
  <si>
    <t>010116</t>
  </si>
  <si>
    <t>бюджет розвитку</t>
  </si>
  <si>
    <t>1060</t>
  </si>
  <si>
    <t>150101</t>
  </si>
  <si>
    <t>0490</t>
  </si>
  <si>
    <t>Код тимчасової класифікації видатків та кредитування місцевого бюджету</t>
  </si>
  <si>
    <t>0110170</t>
  </si>
  <si>
    <t>Керівник секретаріату (секретар)_________________ради</t>
  </si>
  <si>
    <t>грн.</t>
  </si>
  <si>
    <t>Департамент організаційного забезпечення ЧМР</t>
  </si>
  <si>
    <t>070303</t>
  </si>
  <si>
    <t>090000</t>
  </si>
  <si>
    <t xml:space="preserve">Соціальний захист та соціальне забезпечення </t>
  </si>
  <si>
    <t>061007</t>
  </si>
  <si>
    <t>110502</t>
  </si>
  <si>
    <t>150000</t>
  </si>
  <si>
    <t>Будівництво</t>
  </si>
  <si>
    <t>180409</t>
  </si>
  <si>
    <t>250404</t>
  </si>
  <si>
    <t>Департамент освіти та гуманітарної політики ЧМР</t>
  </si>
  <si>
    <t>070000</t>
  </si>
  <si>
    <t>Освіта</t>
  </si>
  <si>
    <t>070101</t>
  </si>
  <si>
    <t>070201</t>
  </si>
  <si>
    <t>070202</t>
  </si>
  <si>
    <t>070304</t>
  </si>
  <si>
    <t>070401</t>
  </si>
  <si>
    <t>070801</t>
  </si>
  <si>
    <t>070802</t>
  </si>
  <si>
    <t>070804</t>
  </si>
  <si>
    <t>070805</t>
  </si>
  <si>
    <t>070806</t>
  </si>
  <si>
    <t>070808</t>
  </si>
  <si>
    <t>110000</t>
  </si>
  <si>
    <t>Бібліотеки</t>
  </si>
  <si>
    <t>130000</t>
  </si>
  <si>
    <t>Фізична культура і спорт</t>
  </si>
  <si>
    <t>150110</t>
  </si>
  <si>
    <t>150112</t>
  </si>
  <si>
    <t>Департамент охорони здоров'я та медичних послуг ЧМР</t>
  </si>
  <si>
    <t>080000</t>
  </si>
  <si>
    <t>080101</t>
  </si>
  <si>
    <t>080203</t>
  </si>
  <si>
    <t>080300</t>
  </si>
  <si>
    <t>Капітальний ремонт внутрішньоквартального проїзду з вул. В. Чорновола до буд. по вул. Радянській, 39/1 вздовж будинку В. Чорновола, 118/1 м. Черкаси (з ПКД) (в т.ч. кредиторська заборгованість 2014 року- 11795,0 грн.)</t>
  </si>
  <si>
    <t>080500</t>
  </si>
  <si>
    <t>081002</t>
  </si>
</sst>
</file>

<file path=xl/styles.xml><?xml version="1.0" encoding="utf-8"?>
<styleSheet xmlns="http://schemas.openxmlformats.org/spreadsheetml/2006/main">
  <numFmts count="3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
    <numFmt numFmtId="186" formatCode="0.000"/>
    <numFmt numFmtId="187" formatCode="#,##0.00000"/>
    <numFmt numFmtId="188" formatCode="0.0"/>
    <numFmt numFmtId="189" formatCode="#,##0.000"/>
    <numFmt numFmtId="190" formatCode="#,##0.00_р_."/>
  </numFmts>
  <fonts count="55">
    <font>
      <sz val="10"/>
      <name val="Times New Roman"/>
      <family val="0"/>
    </font>
    <font>
      <sz val="11"/>
      <color indexed="8"/>
      <name val="Calibri"/>
      <family val="2"/>
    </font>
    <font>
      <sz val="8"/>
      <name val="Times New Roman"/>
      <family val="1"/>
    </font>
    <font>
      <b/>
      <sz val="10"/>
      <name val="Times New Roman"/>
      <family val="1"/>
    </font>
    <font>
      <i/>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b/>
      <sz val="11"/>
      <name val="Times New Roman"/>
      <family val="1"/>
    </font>
    <font>
      <b/>
      <sz val="16"/>
      <name val="Times New Roman"/>
      <family val="1"/>
    </font>
    <font>
      <sz val="11"/>
      <name val="Times New Roman"/>
      <family val="1"/>
    </font>
    <font>
      <b/>
      <sz val="13"/>
      <name val="Times New Roman"/>
      <family val="1"/>
    </font>
    <font>
      <sz val="11"/>
      <color indexed="8"/>
      <name val="Times New Roman"/>
      <family val="1"/>
    </font>
    <font>
      <sz val="14"/>
      <name val="Times New Roman"/>
      <family val="1"/>
    </font>
    <font>
      <b/>
      <sz val="18"/>
      <name val="Times New Roman"/>
      <family val="1"/>
    </font>
    <font>
      <b/>
      <sz val="11"/>
      <color indexed="8"/>
      <name val="Times New Roman"/>
      <family val="1"/>
    </font>
    <font>
      <sz val="10"/>
      <color indexed="8"/>
      <name val="Arial"/>
      <family val="2"/>
    </font>
    <font>
      <i/>
      <sz val="11"/>
      <name val="Times New Roman"/>
      <family val="1"/>
    </font>
    <font>
      <vertAlign val="superscript"/>
      <sz val="8"/>
      <color indexed="10"/>
      <name val="Times New Roman"/>
      <family val="1"/>
    </font>
    <font>
      <sz val="8"/>
      <color indexed="10"/>
      <name val="Times New Roman"/>
      <family val="1"/>
    </font>
    <font>
      <b/>
      <sz val="14"/>
      <name val="Times New Roman CYR"/>
      <family val="0"/>
    </font>
    <font>
      <b/>
      <sz val="12"/>
      <color indexed="8"/>
      <name val="Times New Roman"/>
      <family val="1"/>
    </font>
    <font>
      <sz val="12"/>
      <name val="Times New Roman CYR"/>
      <family val="1"/>
    </font>
    <font>
      <b/>
      <sz val="8"/>
      <name val="Times New Roman"/>
      <family val="1"/>
    </font>
    <font>
      <sz val="10"/>
      <color indexed="9"/>
      <name val="Times New Roman"/>
      <family val="1"/>
    </font>
    <font>
      <b/>
      <sz val="10"/>
      <color indexed="9"/>
      <name val="Times New Roman"/>
      <family val="1"/>
    </font>
    <font>
      <sz val="10"/>
      <name val="Times New Roman Cyr"/>
      <family val="1"/>
    </font>
    <font>
      <sz val="14"/>
      <name val="Times New Roman CYR"/>
      <family val="1"/>
    </font>
    <font>
      <b/>
      <sz val="16"/>
      <name val="Times New Roman Cyr"/>
      <family val="1"/>
    </font>
    <font>
      <sz val="14"/>
      <name val="Times New Roman Cyr"/>
      <family val="0"/>
    </font>
    <font>
      <i/>
      <sz val="14"/>
      <name val="Times New Roman Cyr"/>
      <family val="1"/>
    </font>
    <font>
      <sz val="11"/>
      <color indexed="10"/>
      <name val="Times New Roman"/>
      <family val="1"/>
    </font>
    <font>
      <b/>
      <sz val="11"/>
      <color indexed="10"/>
      <name val="Times New Roman"/>
      <family val="1"/>
    </font>
    <font>
      <b/>
      <sz val="14"/>
      <color indexed="8"/>
      <name val="Times New Roman"/>
      <family val="1"/>
    </font>
    <font>
      <i/>
      <sz val="14"/>
      <name val="Times New Roman"/>
      <family val="1"/>
    </font>
    <font>
      <sz val="14"/>
      <color indexed="8"/>
      <name val="Times New Roman"/>
      <family val="1"/>
    </font>
    <font>
      <sz val="11"/>
      <color indexed="62"/>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sz val="11"/>
      <color indexed="10"/>
      <name val="Calibri"/>
      <family val="2"/>
    </font>
    <font>
      <sz val="11"/>
      <color indexed="17"/>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right/>
      <top/>
      <bottom style="thin"/>
    </border>
    <border>
      <left style="thin"/>
      <right style="thin"/>
      <top style="thin"/>
      <bottom style="thin"/>
    </border>
    <border>
      <left style="thin"/>
      <right style="thin"/>
      <top style="thin"/>
      <bottom/>
    </border>
    <border>
      <left style="thin"/>
      <right/>
      <top style="thin"/>
      <bottom/>
    </border>
    <border>
      <left style="thin"/>
      <right/>
      <top/>
      <bottom/>
    </border>
    <border>
      <left style="thin"/>
      <right/>
      <top/>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style="thin"/>
      <top>
        <color indexed="63"/>
      </top>
      <bottom>
        <color indexed="63"/>
      </bottom>
    </border>
    <border>
      <left style="thin"/>
      <right style="thin"/>
      <top/>
      <bottom/>
    </border>
    <border>
      <left style="thin"/>
      <right style="thin"/>
      <top/>
      <bottom style="thin"/>
    </border>
    <border>
      <left style="thin"/>
      <right/>
      <top style="thin"/>
      <bottom style="thin"/>
    </border>
    <border>
      <left/>
      <right/>
      <top style="thin"/>
      <bottom style="thin"/>
    </border>
    <border>
      <left>
        <color indexed="63"/>
      </left>
      <right>
        <color indexed="63"/>
      </right>
      <top>
        <color indexed="63"/>
      </top>
      <bottom style="thin"/>
    </border>
    <border>
      <left>
        <color indexed="63"/>
      </left>
      <right style="thin"/>
      <top>
        <color indexed="63"/>
      </top>
      <bottom style="thin"/>
    </border>
  </borders>
  <cellStyleXfs count="9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5" fillId="0" borderId="0">
      <alignment/>
      <protection/>
    </xf>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47" fillId="20" borderId="1" applyNumberFormat="0" applyAlignment="0" applyProtection="0"/>
    <xf numFmtId="0" fontId="7" fillId="21" borderId="2" applyNumberFormat="0" applyAlignment="0" applyProtection="0"/>
    <xf numFmtId="0" fontId="11"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5" fillId="0" borderId="0">
      <alignment/>
      <protection/>
    </xf>
    <xf numFmtId="0" fontId="17" fillId="0" borderId="0">
      <alignment/>
      <protection/>
    </xf>
    <xf numFmtId="0" fontId="15" fillId="0" borderId="0">
      <alignment/>
      <protection/>
    </xf>
    <xf numFmtId="0" fontId="15"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27" fillId="0" borderId="0">
      <alignment vertical="top"/>
      <protection/>
    </xf>
    <xf numFmtId="0" fontId="9" fillId="0" borderId="6" applyNumberFormat="0" applyFill="0" applyAlignment="0" applyProtection="0"/>
    <xf numFmtId="0" fontId="51" fillId="22" borderId="7" applyNumberFormat="0" applyAlignment="0" applyProtection="0"/>
    <xf numFmtId="0" fontId="52" fillId="0" borderId="0" applyNumberFormat="0" applyFill="0" applyBorder="0" applyAlignment="0" applyProtection="0"/>
    <xf numFmtId="0" fontId="12" fillId="20" borderId="0" applyNumberFormat="0" applyBorder="0" applyAlignment="0" applyProtection="0"/>
    <xf numFmtId="0" fontId="15" fillId="0" borderId="0">
      <alignment/>
      <protection/>
    </xf>
    <xf numFmtId="0" fontId="1" fillId="0" borderId="0">
      <alignment/>
      <protection/>
    </xf>
    <xf numFmtId="0" fontId="15" fillId="0" borderId="0">
      <alignment/>
      <protection/>
    </xf>
    <xf numFmtId="0" fontId="16" fillId="0" borderId="0">
      <alignment/>
      <protection/>
    </xf>
    <xf numFmtId="0" fontId="33" fillId="0" borderId="0">
      <alignment/>
      <protection/>
    </xf>
    <xf numFmtId="0" fontId="16" fillId="0" borderId="0">
      <alignment/>
      <protection/>
    </xf>
    <xf numFmtId="0" fontId="15" fillId="0" borderId="0">
      <alignment/>
      <protection/>
    </xf>
    <xf numFmtId="0" fontId="6" fillId="3" borderId="0" applyNumberFormat="0" applyBorder="0" applyAlignment="0" applyProtection="0"/>
    <xf numFmtId="0" fontId="8"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14" fillId="0" borderId="0">
      <alignment/>
      <protection/>
    </xf>
    <xf numFmtId="0" fontId="5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1" fontId="15" fillId="0" borderId="0" applyFont="0" applyFill="0" applyBorder="0" applyAlignment="0" applyProtection="0"/>
    <xf numFmtId="0" fontId="54" fillId="6" borderId="0" applyNumberFormat="0" applyBorder="0" applyAlignment="0" applyProtection="0"/>
  </cellStyleXfs>
  <cellXfs count="277">
    <xf numFmtId="0" fontId="0" fillId="0" borderId="0" xfId="0" applyAlignment="1">
      <alignment/>
    </xf>
    <xf numFmtId="0" fontId="2" fillId="0" borderId="0" xfId="0" applyNumberFormat="1" applyFont="1" applyFill="1" applyAlignment="1" applyProtection="1">
      <alignment horizontal="center" vertical="center" wrapText="1"/>
      <protection/>
    </xf>
    <xf numFmtId="0" fontId="0" fillId="0" borderId="0" xfId="0" applyNumberFormat="1" applyFont="1" applyFill="1" applyAlignment="1" applyProtection="1">
      <alignment/>
      <protection/>
    </xf>
    <xf numFmtId="0" fontId="5" fillId="0" borderId="0" xfId="0" applyNumberFormat="1" applyFont="1" applyFill="1" applyAlignment="1" applyProtection="1">
      <alignment horizontal="center"/>
      <protection/>
    </xf>
    <xf numFmtId="0" fontId="0" fillId="0" borderId="0" xfId="0" applyFont="1" applyFill="1" applyAlignment="1">
      <alignment/>
    </xf>
    <xf numFmtId="0" fontId="0" fillId="0" borderId="0" xfId="0" applyNumberFormat="1" applyFont="1" applyFill="1" applyAlignment="1" applyProtection="1">
      <alignment/>
      <protection/>
    </xf>
    <xf numFmtId="0" fontId="0" fillId="0" borderId="10" xfId="0" applyFont="1" applyFill="1" applyBorder="1" applyAlignment="1">
      <alignment horizontal="center"/>
    </xf>
    <xf numFmtId="0" fontId="0" fillId="0" borderId="0" xfId="0" applyFont="1" applyFill="1" applyAlignment="1">
      <alignment horizontal="center"/>
    </xf>
    <xf numFmtId="0" fontId="0" fillId="0" borderId="0" xfId="0" applyFont="1" applyFill="1" applyAlignment="1">
      <alignment/>
    </xf>
    <xf numFmtId="0" fontId="19" fillId="0" borderId="11" xfId="0" applyFont="1" applyBorder="1" applyAlignment="1">
      <alignment horizontal="center" vertical="center" wrapText="1"/>
    </xf>
    <xf numFmtId="0" fontId="19" fillId="0" borderId="11" xfId="0" applyFont="1" applyBorder="1" applyAlignment="1">
      <alignment horizontal="justify" vertical="center" wrapText="1"/>
    </xf>
    <xf numFmtId="0" fontId="21" fillId="0" borderId="11" xfId="0" applyFont="1" applyBorder="1" applyAlignment="1">
      <alignment horizontal="center" vertical="center" wrapText="1"/>
    </xf>
    <xf numFmtId="0" fontId="21" fillId="0" borderId="11" xfId="0" applyFont="1" applyBorder="1" applyAlignment="1">
      <alignment vertical="center" wrapText="1"/>
    </xf>
    <xf numFmtId="0" fontId="19" fillId="0" borderId="11" xfId="0" applyFont="1" applyBorder="1" applyAlignment="1">
      <alignment vertical="center" wrapText="1"/>
    </xf>
    <xf numFmtId="0" fontId="0" fillId="0" borderId="0" xfId="0" applyNumberFormat="1" applyFont="1" applyFill="1" applyAlignment="1" applyProtection="1">
      <alignment/>
      <protection/>
    </xf>
    <xf numFmtId="0" fontId="5" fillId="0" borderId="10" xfId="0" applyNumberFormat="1" applyFont="1" applyFill="1" applyBorder="1" applyAlignment="1" applyProtection="1">
      <alignment horizontal="center"/>
      <protection/>
    </xf>
    <xf numFmtId="49" fontId="19" fillId="0" borderId="11" xfId="0" applyNumberFormat="1" applyFont="1" applyBorder="1" applyAlignment="1">
      <alignment horizontal="center" vertical="center" wrapText="1"/>
    </xf>
    <xf numFmtId="49" fontId="21" fillId="0" borderId="11" xfId="0" applyNumberFormat="1" applyFont="1" applyBorder="1" applyAlignment="1">
      <alignment horizontal="center" vertical="center" wrapText="1"/>
    </xf>
    <xf numFmtId="0" fontId="0" fillId="0" borderId="0" xfId="0" applyFont="1" applyFill="1" applyAlignment="1">
      <alignment/>
    </xf>
    <xf numFmtId="0" fontId="3" fillId="0" borderId="0" xfId="0" applyNumberFormat="1" applyFont="1" applyFill="1" applyAlignment="1" applyProtection="1">
      <alignment/>
      <protection/>
    </xf>
    <xf numFmtId="0" fontId="21" fillId="0" borderId="11" xfId="0" applyFont="1" applyBorder="1" applyAlignment="1">
      <alignment horizontal="justify" vertical="center" wrapText="1"/>
    </xf>
    <xf numFmtId="49" fontId="19" fillId="4" borderId="11" xfId="0" applyNumberFormat="1" applyFont="1" applyFill="1" applyBorder="1" applyAlignment="1">
      <alignment horizontal="center" vertical="center" wrapText="1"/>
    </xf>
    <xf numFmtId="0" fontId="19" fillId="4" borderId="11" xfId="0" applyFont="1" applyFill="1" applyBorder="1" applyAlignment="1">
      <alignment horizontal="justify" vertical="center" wrapText="1"/>
    </xf>
    <xf numFmtId="49" fontId="21" fillId="4" borderId="11" xfId="0" applyNumberFormat="1" applyFont="1" applyFill="1" applyBorder="1" applyAlignment="1">
      <alignment horizontal="center" vertical="center" wrapText="1"/>
    </xf>
    <xf numFmtId="0" fontId="19" fillId="4" borderId="11" xfId="0" applyFont="1" applyFill="1" applyBorder="1" applyAlignment="1">
      <alignment horizontal="center" vertical="center" wrapText="1"/>
    </xf>
    <xf numFmtId="0" fontId="22" fillId="0" borderId="0" xfId="0" applyFont="1" applyAlignment="1">
      <alignment/>
    </xf>
    <xf numFmtId="0" fontId="22" fillId="0" borderId="0" xfId="0" applyNumberFormat="1" applyFont="1" applyFill="1" applyAlignment="1" applyProtection="1">
      <alignment/>
      <protection/>
    </xf>
    <xf numFmtId="0" fontId="21" fillId="0" borderId="0" xfId="0" applyFont="1" applyBorder="1" applyAlignment="1">
      <alignment horizontal="center" vertical="center" wrapText="1"/>
    </xf>
    <xf numFmtId="49" fontId="21" fillId="0" borderId="0" xfId="0" applyNumberFormat="1" applyFont="1" applyBorder="1" applyAlignment="1">
      <alignment horizontal="center" vertical="center" wrapText="1"/>
    </xf>
    <xf numFmtId="180" fontId="26" fillId="0" borderId="0" xfId="0" applyNumberFormat="1" applyFont="1" applyBorder="1" applyAlignment="1">
      <alignment vertical="justify"/>
    </xf>
    <xf numFmtId="0" fontId="21" fillId="0" borderId="11" xfId="0" applyFont="1" applyFill="1" applyBorder="1" applyAlignment="1">
      <alignment horizontal="left" vertical="center" wrapText="1"/>
    </xf>
    <xf numFmtId="0" fontId="24" fillId="0" borderId="0" xfId="0" applyNumberFormat="1" applyFont="1" applyFill="1" applyAlignment="1" applyProtection="1">
      <alignment/>
      <protection/>
    </xf>
    <xf numFmtId="0" fontId="5" fillId="0" borderId="0" xfId="0" applyNumberFormat="1" applyFont="1" applyFill="1" applyAlignment="1" applyProtection="1">
      <alignment/>
      <protection/>
    </xf>
    <xf numFmtId="0" fontId="24" fillId="0" borderId="0" xfId="0" applyFont="1" applyFill="1" applyAlignment="1">
      <alignment/>
    </xf>
    <xf numFmtId="0" fontId="0" fillId="0" borderId="11" xfId="0" applyNumberFormat="1" applyFont="1" applyFill="1" applyBorder="1" applyAlignment="1" applyProtection="1">
      <alignment horizontal="center" vertical="center" wrapText="1"/>
      <protection/>
    </xf>
    <xf numFmtId="0" fontId="3" fillId="0" borderId="0" xfId="0" applyNumberFormat="1" applyFont="1" applyFill="1" applyAlignment="1" applyProtection="1">
      <alignment/>
      <protection/>
    </xf>
    <xf numFmtId="0" fontId="18" fillId="0" borderId="11" xfId="0" applyFont="1" applyBorder="1" applyAlignment="1">
      <alignment horizontal="center" vertical="center" wrapText="1"/>
    </xf>
    <xf numFmtId="0" fontId="18" fillId="4" borderId="11" xfId="0" applyFont="1" applyFill="1" applyBorder="1" applyAlignment="1">
      <alignment horizontal="center" vertical="center" wrapText="1"/>
    </xf>
    <xf numFmtId="49" fontId="18" fillId="4" borderId="11" xfId="0" applyNumberFormat="1" applyFont="1" applyFill="1" applyBorder="1" applyAlignment="1">
      <alignment horizontal="center" vertical="center" wrapText="1"/>
    </xf>
    <xf numFmtId="0" fontId="13" fillId="4" borderId="11" xfId="0" applyFont="1" applyFill="1" applyBorder="1" applyAlignment="1">
      <alignment horizontal="justify" vertical="center" wrapText="1"/>
    </xf>
    <xf numFmtId="0" fontId="18" fillId="0" borderId="0" xfId="0" applyNumberFormat="1" applyFont="1" applyFill="1" applyAlignment="1" applyProtection="1">
      <alignment vertical="center"/>
      <protection/>
    </xf>
    <xf numFmtId="0" fontId="18" fillId="0" borderId="0" xfId="0" applyFont="1" applyFill="1" applyAlignment="1">
      <alignment vertical="center"/>
    </xf>
    <xf numFmtId="0" fontId="0" fillId="0" borderId="0" xfId="0" applyFont="1" applyFill="1" applyAlignment="1">
      <alignment/>
    </xf>
    <xf numFmtId="0" fontId="21" fillId="0" borderId="11" xfId="77" applyFont="1" applyFill="1" applyBorder="1" applyAlignment="1" applyProtection="1">
      <alignment horizontal="left" vertical="center" wrapText="1"/>
      <protection/>
    </xf>
    <xf numFmtId="0" fontId="21" fillId="0" borderId="11" xfId="77" applyFont="1" applyFill="1" applyBorder="1" applyAlignment="1" applyProtection="1">
      <alignment vertical="center" wrapText="1"/>
      <protection/>
    </xf>
    <xf numFmtId="0" fontId="21" fillId="0" borderId="11" xfId="0" applyFont="1" applyFill="1" applyBorder="1" applyAlignment="1">
      <alignment wrapText="1"/>
    </xf>
    <xf numFmtId="0" fontId="34" fillId="0" borderId="0" xfId="0" applyNumberFormat="1" applyFont="1" applyFill="1" applyAlignment="1" applyProtection="1">
      <alignment horizontal="center" vertical="center" wrapText="1"/>
      <protection/>
    </xf>
    <xf numFmtId="0" fontId="3" fillId="0" borderId="10" xfId="0" applyFont="1" applyFill="1" applyBorder="1" applyAlignment="1">
      <alignment horizontal="center"/>
    </xf>
    <xf numFmtId="0" fontId="0" fillId="0" borderId="0" xfId="0" applyNumberFormat="1" applyFont="1" applyFill="1" applyAlignment="1" applyProtection="1">
      <alignment/>
      <protection/>
    </xf>
    <xf numFmtId="49" fontId="21" fillId="0" borderId="12" xfId="0" applyNumberFormat="1" applyFont="1" applyBorder="1" applyAlignment="1">
      <alignment horizontal="center" vertical="center" wrapText="1"/>
    </xf>
    <xf numFmtId="0" fontId="18" fillId="0" borderId="0" xfId="0" applyNumberFormat="1" applyFont="1" applyFill="1" applyAlignment="1" applyProtection="1">
      <alignment/>
      <protection/>
    </xf>
    <xf numFmtId="0" fontId="18" fillId="0" borderId="0" xfId="0" applyFont="1" applyFill="1" applyAlignment="1">
      <alignment/>
    </xf>
    <xf numFmtId="0" fontId="3" fillId="0" borderId="0" xfId="0" applyFont="1" applyAlignment="1">
      <alignment/>
    </xf>
    <xf numFmtId="4" fontId="26" fillId="4" borderId="11" xfId="68" applyNumberFormat="1" applyFont="1" applyFill="1" applyBorder="1" applyAlignment="1">
      <alignment horizontal="right" vertical="center"/>
      <protection/>
    </xf>
    <xf numFmtId="4" fontId="26" fillId="4" borderId="11" xfId="68" applyNumberFormat="1" applyFont="1" applyFill="1" applyBorder="1" applyAlignment="1">
      <alignment horizontal="right"/>
      <protection/>
    </xf>
    <xf numFmtId="4" fontId="26" fillId="0" borderId="11" xfId="68" applyNumberFormat="1" applyFont="1" applyBorder="1" applyAlignment="1">
      <alignment horizontal="right"/>
      <protection/>
    </xf>
    <xf numFmtId="4" fontId="23" fillId="0" borderId="11" xfId="68" applyNumberFormat="1" applyFont="1" applyBorder="1" applyAlignment="1">
      <alignment horizontal="right"/>
      <protection/>
    </xf>
    <xf numFmtId="4" fontId="26" fillId="0" borderId="11" xfId="68" applyNumberFormat="1" applyFont="1" applyFill="1" applyBorder="1" applyAlignment="1">
      <alignment horizontal="right"/>
      <protection/>
    </xf>
    <xf numFmtId="4" fontId="19" fillId="4" borderId="11" xfId="0" applyNumberFormat="1" applyFont="1" applyFill="1" applyBorder="1" applyAlignment="1">
      <alignment horizontal="right" vertical="center" wrapText="1"/>
    </xf>
    <xf numFmtId="4" fontId="23" fillId="0" borderId="11" xfId="68" applyNumberFormat="1" applyFont="1" applyFill="1" applyBorder="1" applyAlignment="1">
      <alignment horizontal="right"/>
      <protection/>
    </xf>
    <xf numFmtId="4" fontId="32" fillId="4" borderId="11" xfId="0" applyNumberFormat="1" applyFont="1" applyFill="1" applyBorder="1" applyAlignment="1">
      <alignment horizontal="right" vertical="center"/>
    </xf>
    <xf numFmtId="0" fontId="0" fillId="0" borderId="10" xfId="0" applyFont="1" applyFill="1" applyBorder="1" applyAlignment="1">
      <alignment horizontal="center"/>
    </xf>
    <xf numFmtId="0" fontId="5" fillId="0" borderId="10" xfId="0" applyNumberFormat="1" applyFont="1" applyFill="1" applyBorder="1" applyAlignment="1" applyProtection="1">
      <alignment horizontal="center" vertical="top"/>
      <protection/>
    </xf>
    <xf numFmtId="0" fontId="0" fillId="0" borderId="13" xfId="0" applyNumberFormat="1" applyFont="1" applyFill="1" applyBorder="1" applyAlignment="1" applyProtection="1">
      <alignment/>
      <protection/>
    </xf>
    <xf numFmtId="0" fontId="0" fillId="0" borderId="14" xfId="0" applyNumberFormat="1" applyFont="1" applyFill="1" applyBorder="1" applyAlignment="1" applyProtection="1">
      <alignment/>
      <protection/>
    </xf>
    <xf numFmtId="0" fontId="0" fillId="0" borderId="15"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49" fontId="21" fillId="0" borderId="12" xfId="77" applyNumberFormat="1" applyFont="1" applyFill="1" applyBorder="1" applyAlignment="1" applyProtection="1">
      <alignment horizontal="center" vertical="center" wrapText="1"/>
      <protection/>
    </xf>
    <xf numFmtId="0" fontId="21" fillId="0" borderId="12" xfId="77" applyFont="1" applyFill="1" applyBorder="1" applyAlignment="1" applyProtection="1">
      <alignment vertical="center" wrapText="1"/>
      <protection/>
    </xf>
    <xf numFmtId="49" fontId="21" fillId="0" borderId="11" xfId="77" applyNumberFormat="1" applyFont="1" applyFill="1" applyBorder="1" applyAlignment="1" applyProtection="1">
      <alignment horizontal="center" vertical="center" wrapText="1"/>
      <protection/>
    </xf>
    <xf numFmtId="0" fontId="0" fillId="0" borderId="11" xfId="0" applyFont="1" applyFill="1" applyBorder="1" applyAlignment="1">
      <alignment/>
    </xf>
    <xf numFmtId="0" fontId="0" fillId="0" borderId="11" xfId="0" applyNumberFormat="1" applyFont="1" applyFill="1" applyBorder="1" applyAlignment="1" applyProtection="1">
      <alignment/>
      <protection/>
    </xf>
    <xf numFmtId="49" fontId="21" fillId="0" borderId="11" xfId="0" applyNumberFormat="1" applyFont="1" applyFill="1" applyBorder="1" applyAlignment="1" applyProtection="1">
      <alignment horizontal="center" vertical="center" wrapText="1"/>
      <protection/>
    </xf>
    <xf numFmtId="0" fontId="21" fillId="0" borderId="11" xfId="0" applyFont="1" applyFill="1" applyBorder="1" applyAlignment="1" applyProtection="1">
      <alignment wrapText="1"/>
      <protection/>
    </xf>
    <xf numFmtId="0" fontId="21" fillId="0" borderId="11" xfId="0" applyFont="1" applyFill="1" applyBorder="1" applyAlignment="1" applyProtection="1">
      <alignment vertical="top" wrapText="1"/>
      <protection/>
    </xf>
    <xf numFmtId="0" fontId="19" fillId="0" borderId="0" xfId="0" applyFont="1" applyBorder="1" applyAlignment="1">
      <alignment horizontal="justify" vertical="center" wrapText="1"/>
    </xf>
    <xf numFmtId="0" fontId="34" fillId="0" borderId="10" xfId="0" applyNumberFormat="1" applyFont="1" applyFill="1" applyBorder="1" applyAlignment="1" applyProtection="1">
      <alignment horizontal="right" vertical="center"/>
      <protection/>
    </xf>
    <xf numFmtId="4" fontId="3" fillId="0" borderId="0" xfId="0" applyNumberFormat="1" applyFont="1" applyFill="1" applyAlignment="1" applyProtection="1">
      <alignment/>
      <protection/>
    </xf>
    <xf numFmtId="49" fontId="21" fillId="0" borderId="11" xfId="0" applyNumberFormat="1" applyFont="1" applyFill="1" applyBorder="1" applyAlignment="1">
      <alignment horizontal="center" vertical="center" wrapText="1"/>
    </xf>
    <xf numFmtId="0" fontId="0" fillId="0" borderId="0" xfId="0" applyFont="1" applyAlignment="1">
      <alignment horizontal="center"/>
    </xf>
    <xf numFmtId="0" fontId="0" fillId="0" borderId="0" xfId="0" applyFont="1" applyAlignment="1">
      <alignment/>
    </xf>
    <xf numFmtId="4" fontId="0" fillId="0" borderId="0" xfId="0" applyNumberFormat="1" applyFont="1" applyFill="1" applyAlignment="1">
      <alignment horizontal="center"/>
    </xf>
    <xf numFmtId="0" fontId="21" fillId="0" borderId="12" xfId="0" applyFont="1" applyBorder="1" applyAlignment="1">
      <alignment horizontal="center" vertical="center" wrapText="1"/>
    </xf>
    <xf numFmtId="0" fontId="35" fillId="0" borderId="0" xfId="0" applyNumberFormat="1" applyFont="1" applyFill="1" applyAlignment="1" applyProtection="1">
      <alignment/>
      <protection/>
    </xf>
    <xf numFmtId="4" fontId="36" fillId="0" borderId="0" xfId="0" applyNumberFormat="1" applyFont="1" applyFill="1" applyAlignment="1" applyProtection="1">
      <alignment/>
      <protection/>
    </xf>
    <xf numFmtId="4" fontId="3" fillId="0" borderId="0" xfId="0" applyNumberFormat="1" applyFont="1" applyFill="1" applyAlignment="1" applyProtection="1">
      <alignment/>
      <protection/>
    </xf>
    <xf numFmtId="0" fontId="21" fillId="0" borderId="11" xfId="0" applyFont="1" applyBorder="1" applyAlignment="1">
      <alignment horizontal="left" vertical="center" wrapText="1"/>
    </xf>
    <xf numFmtId="0" fontId="37" fillId="0" borderId="0" xfId="0" applyFont="1" applyFill="1" applyBorder="1" applyAlignment="1">
      <alignment/>
    </xf>
    <xf numFmtId="0" fontId="37" fillId="0" borderId="0" xfId="0" applyFont="1" applyFill="1" applyBorder="1" applyAlignment="1">
      <alignment horizontal="left" vertical="top"/>
    </xf>
    <xf numFmtId="188" fontId="38" fillId="0" borderId="0" xfId="0" applyNumberFormat="1" applyFont="1" applyFill="1" applyBorder="1" applyAlignment="1">
      <alignment horizontal="left" vertical="center"/>
    </xf>
    <xf numFmtId="0" fontId="37" fillId="0" borderId="0" xfId="0" applyFont="1" applyFill="1" applyBorder="1" applyAlignment="1">
      <alignment horizontal="left"/>
    </xf>
    <xf numFmtId="188" fontId="37" fillId="0" borderId="0" xfId="0" applyNumberFormat="1" applyFont="1" applyFill="1" applyBorder="1" applyAlignment="1">
      <alignment horizontal="center" vertical="center"/>
    </xf>
    <xf numFmtId="49" fontId="38" fillId="0" borderId="11" xfId="0" applyNumberFormat="1" applyFont="1" applyFill="1" applyBorder="1" applyAlignment="1">
      <alignment horizontal="justify" vertical="center" wrapText="1"/>
    </xf>
    <xf numFmtId="49" fontId="38" fillId="0" borderId="11" xfId="0" applyNumberFormat="1" applyFont="1" applyFill="1" applyBorder="1" applyAlignment="1">
      <alignment horizontal="left" vertical="center" wrapText="1"/>
    </xf>
    <xf numFmtId="49" fontId="38" fillId="0" borderId="11" xfId="0" applyNumberFormat="1" applyFont="1" applyFill="1" applyBorder="1" applyAlignment="1">
      <alignment horizontal="left" vertical="center" wrapText="1" indent="1"/>
    </xf>
    <xf numFmtId="49" fontId="41" fillId="0" borderId="11" xfId="0" applyNumberFormat="1" applyFont="1" applyFill="1" applyBorder="1" applyAlignment="1">
      <alignment horizontal="left" vertical="center" wrapText="1" indent="1"/>
    </xf>
    <xf numFmtId="2" fontId="41" fillId="0" borderId="11" xfId="0" applyNumberFormat="1" applyFont="1" applyFill="1" applyBorder="1" applyAlignment="1" applyProtection="1">
      <alignment horizontal="left" vertical="center" wrapText="1" indent="1"/>
      <protection locked="0"/>
    </xf>
    <xf numFmtId="2" fontId="41" fillId="24" borderId="11" xfId="0" applyNumberFormat="1" applyFont="1" applyFill="1" applyBorder="1" applyAlignment="1" applyProtection="1">
      <alignment horizontal="left" vertical="center" wrapText="1" indent="1"/>
      <protection locked="0"/>
    </xf>
    <xf numFmtId="189" fontId="40" fillId="0" borderId="0" xfId="0" applyNumberFormat="1" applyFont="1" applyFill="1" applyBorder="1" applyAlignment="1">
      <alignment horizontal="left" vertical="center" wrapText="1" shrinkToFit="1"/>
    </xf>
    <xf numFmtId="189" fontId="38" fillId="0" borderId="0" xfId="0" applyNumberFormat="1" applyFont="1" applyFill="1" applyBorder="1" applyAlignment="1">
      <alignment horizontal="left" vertical="center" wrapText="1" shrinkToFit="1"/>
    </xf>
    <xf numFmtId="49" fontId="37" fillId="0" borderId="0" xfId="0" applyNumberFormat="1" applyFont="1" applyFill="1" applyBorder="1" applyAlignment="1">
      <alignment wrapText="1"/>
    </xf>
    <xf numFmtId="0" fontId="37" fillId="0" borderId="0" xfId="0" applyNumberFormat="1" applyFont="1" applyFill="1" applyBorder="1" applyAlignment="1">
      <alignment wrapText="1"/>
    </xf>
    <xf numFmtId="188" fontId="37" fillId="0" borderId="0" xfId="0" applyNumberFormat="1" applyFont="1" applyFill="1" applyBorder="1" applyAlignment="1">
      <alignment horizontal="center" vertical="center" wrapText="1"/>
    </xf>
    <xf numFmtId="0" fontId="37" fillId="0" borderId="0" xfId="0" applyNumberFormat="1" applyFont="1" applyFill="1" applyBorder="1" applyAlignment="1">
      <alignment/>
    </xf>
    <xf numFmtId="49" fontId="37" fillId="0" borderId="0" xfId="0" applyNumberFormat="1" applyFont="1" applyFill="1" applyBorder="1" applyAlignment="1">
      <alignment horizontal="left" vertical="top" wrapText="1"/>
    </xf>
    <xf numFmtId="0" fontId="0" fillId="0" borderId="0" xfId="0" applyFont="1" applyAlignment="1">
      <alignment/>
    </xf>
    <xf numFmtId="49" fontId="38" fillId="0" borderId="11" xfId="0" applyNumberFormat="1" applyFont="1" applyFill="1" applyBorder="1" applyAlignment="1">
      <alignment horizontal="center" vertical="center" shrinkToFit="1"/>
    </xf>
    <xf numFmtId="189" fontId="38" fillId="0" borderId="11" xfId="0" applyNumberFormat="1" applyFont="1" applyFill="1" applyBorder="1" applyAlignment="1">
      <alignment horizontal="left" vertical="center" wrapText="1" shrinkToFit="1"/>
    </xf>
    <xf numFmtId="189" fontId="40" fillId="0" borderId="11" xfId="0" applyNumberFormat="1" applyFont="1" applyFill="1" applyBorder="1" applyAlignment="1">
      <alignment horizontal="left" vertical="center" wrapText="1" shrinkToFit="1"/>
    </xf>
    <xf numFmtId="189" fontId="38" fillId="24" borderId="11" xfId="0" applyNumberFormat="1" applyFont="1" applyFill="1" applyBorder="1" applyAlignment="1">
      <alignment horizontal="left" vertical="center" wrapText="1" shrinkToFit="1"/>
    </xf>
    <xf numFmtId="49" fontId="31" fillId="0" borderId="11" xfId="0" applyNumberFormat="1" applyFont="1" applyFill="1" applyBorder="1" applyAlignment="1">
      <alignment horizontal="center" vertical="center" wrapText="1"/>
    </xf>
    <xf numFmtId="0" fontId="24" fillId="0" borderId="10" xfId="0" applyNumberFormat="1" applyFont="1" applyFill="1" applyBorder="1" applyAlignment="1" applyProtection="1">
      <alignment horizontal="center"/>
      <protection/>
    </xf>
    <xf numFmtId="0" fontId="0" fillId="0" borderId="0" xfId="0" applyFont="1" applyAlignment="1">
      <alignment horizontal="center" wrapText="1"/>
    </xf>
    <xf numFmtId="49" fontId="21" fillId="0" borderId="0" xfId="77" applyNumberFormat="1" applyFont="1" applyFill="1" applyBorder="1" applyAlignment="1" applyProtection="1">
      <alignment horizontal="center" vertical="center" wrapText="1"/>
      <protection/>
    </xf>
    <xf numFmtId="0" fontId="21" fillId="0" borderId="12" xfId="77" applyFont="1" applyFill="1" applyBorder="1" applyAlignment="1" applyProtection="1">
      <alignment horizontal="left" vertical="center" wrapText="1"/>
      <protection/>
    </xf>
    <xf numFmtId="0" fontId="22" fillId="0" borderId="0" xfId="0" applyNumberFormat="1" applyFont="1" applyFill="1" applyAlignment="1" applyProtection="1">
      <alignment horizontal="right"/>
      <protection/>
    </xf>
    <xf numFmtId="4" fontId="42" fillId="0" borderId="11" xfId="68" applyNumberFormat="1" applyFont="1" applyBorder="1" applyAlignment="1">
      <alignment horizontal="right"/>
      <protection/>
    </xf>
    <xf numFmtId="4" fontId="21" fillId="0" borderId="11" xfId="68" applyNumberFormat="1" applyFont="1" applyBorder="1" applyAlignment="1">
      <alignment horizontal="right"/>
      <protection/>
    </xf>
    <xf numFmtId="4" fontId="43" fillId="4" borderId="11" xfId="68" applyNumberFormat="1" applyFont="1" applyFill="1" applyBorder="1" applyAlignment="1">
      <alignment horizontal="right"/>
      <protection/>
    </xf>
    <xf numFmtId="4" fontId="43" fillId="0" borderId="11" xfId="68" applyNumberFormat="1" applyFont="1" applyBorder="1" applyAlignment="1">
      <alignment horizontal="right"/>
      <protection/>
    </xf>
    <xf numFmtId="4" fontId="19" fillId="0" borderId="11" xfId="68" applyNumberFormat="1" applyFont="1" applyBorder="1" applyAlignment="1">
      <alignment horizontal="right"/>
      <protection/>
    </xf>
    <xf numFmtId="4" fontId="19" fillId="4" borderId="11" xfId="68" applyNumberFormat="1" applyFont="1" applyFill="1" applyBorder="1" applyAlignment="1">
      <alignment horizontal="right"/>
      <protection/>
    </xf>
    <xf numFmtId="4" fontId="19" fillId="0" borderId="11" xfId="68" applyNumberFormat="1" applyFont="1" applyFill="1" applyBorder="1" applyAlignment="1">
      <alignment horizontal="right"/>
      <protection/>
    </xf>
    <xf numFmtId="4" fontId="21" fillId="0" borderId="11" xfId="68" applyNumberFormat="1" applyFont="1" applyFill="1" applyBorder="1" applyAlignment="1">
      <alignment horizontal="right"/>
      <protection/>
    </xf>
    <xf numFmtId="4" fontId="28" fillId="0" borderId="11" xfId="68" applyNumberFormat="1" applyFont="1" applyBorder="1" applyAlignment="1">
      <alignment horizontal="right"/>
      <protection/>
    </xf>
    <xf numFmtId="4" fontId="28" fillId="0" borderId="11" xfId="68" applyNumberFormat="1" applyFont="1" applyFill="1" applyBorder="1" applyAlignment="1">
      <alignment horizontal="right"/>
      <protection/>
    </xf>
    <xf numFmtId="0" fontId="0" fillId="0" borderId="0" xfId="79" applyFont="1">
      <alignment/>
      <protection/>
    </xf>
    <xf numFmtId="0" fontId="18" fillId="0" borderId="0" xfId="79" applyFont="1">
      <alignment/>
      <protection/>
    </xf>
    <xf numFmtId="4" fontId="5" fillId="0" borderId="11" xfId="79" applyNumberFormat="1" applyFont="1" applyFill="1" applyBorder="1" applyAlignment="1">
      <alignment horizontal="center" vertical="center"/>
      <protection/>
    </xf>
    <xf numFmtId="0" fontId="3" fillId="0" borderId="0" xfId="79" applyFont="1">
      <alignment/>
      <protection/>
    </xf>
    <xf numFmtId="0" fontId="18" fillId="0" borderId="11" xfId="79" applyFont="1" applyBorder="1" applyAlignment="1">
      <alignment horizontal="center"/>
      <protection/>
    </xf>
    <xf numFmtId="49" fontId="24" fillId="0" borderId="11" xfId="79" applyNumberFormat="1" applyFont="1" applyFill="1" applyBorder="1" applyAlignment="1">
      <alignment horizontal="center" vertical="center" wrapText="1"/>
      <protection/>
    </xf>
    <xf numFmtId="0" fontId="24" fillId="0" borderId="11" xfId="79" applyFont="1" applyBorder="1">
      <alignment/>
      <protection/>
    </xf>
    <xf numFmtId="0" fontId="24" fillId="0" borderId="11" xfId="79" applyFont="1" applyFill="1" applyBorder="1" applyAlignment="1">
      <alignment horizontal="left" wrapText="1"/>
      <protection/>
    </xf>
    <xf numFmtId="4" fontId="24" fillId="0" borderId="11" xfId="79" applyNumberFormat="1" applyFont="1" applyFill="1" applyBorder="1" applyAlignment="1">
      <alignment horizontal="center" vertical="center"/>
      <protection/>
    </xf>
    <xf numFmtId="0" fontId="24" fillId="0" borderId="11" xfId="0" applyFont="1" applyFill="1" applyBorder="1" applyAlignment="1">
      <alignment horizontal="left" vertical="top" wrapText="1"/>
    </xf>
    <xf numFmtId="0" fontId="5" fillId="0" borderId="11" xfId="79" applyFont="1" applyBorder="1" applyAlignment="1">
      <alignment horizontal="center" wrapText="1"/>
      <protection/>
    </xf>
    <xf numFmtId="0" fontId="24" fillId="0" borderId="0" xfId="79" applyFont="1">
      <alignment/>
      <protection/>
    </xf>
    <xf numFmtId="0" fontId="24" fillId="0" borderId="0" xfId="79" applyFont="1" applyBorder="1">
      <alignment/>
      <protection/>
    </xf>
    <xf numFmtId="0" fontId="5" fillId="0" borderId="0" xfId="0" applyFont="1" applyFill="1" applyBorder="1" applyAlignment="1">
      <alignment vertical="top" wrapText="1"/>
    </xf>
    <xf numFmtId="189" fontId="5" fillId="0" borderId="0" xfId="0" applyNumberFormat="1" applyFont="1" applyFill="1" applyBorder="1" applyAlignment="1">
      <alignment horizontal="center" vertical="center" wrapText="1"/>
    </xf>
    <xf numFmtId="0" fontId="0" fillId="0" borderId="0" xfId="79" applyFont="1" applyAlignment="1">
      <alignment horizontal="center"/>
      <protection/>
    </xf>
    <xf numFmtId="49" fontId="24" fillId="0" borderId="0" xfId="79" applyNumberFormat="1" applyFont="1" applyFill="1" applyBorder="1" applyAlignment="1">
      <alignment horizontal="center" vertical="center" wrapText="1"/>
      <protection/>
    </xf>
    <xf numFmtId="0" fontId="20" fillId="0" borderId="0" xfId="79" applyFont="1" applyAlignment="1">
      <alignment/>
      <protection/>
    </xf>
    <xf numFmtId="0" fontId="5" fillId="0" borderId="0" xfId="79" applyFont="1" applyAlignment="1">
      <alignment horizontal="center" wrapText="1"/>
      <protection/>
    </xf>
    <xf numFmtId="0" fontId="0" fillId="0" borderId="0" xfId="79" applyFont="1" applyBorder="1">
      <alignment/>
      <protection/>
    </xf>
    <xf numFmtId="0" fontId="18" fillId="0" borderId="0" xfId="79" applyFont="1" applyAlignment="1">
      <alignment horizontal="right"/>
      <protection/>
    </xf>
    <xf numFmtId="0" fontId="13" fillId="0" borderId="11" xfId="0" applyFont="1" applyBorder="1" applyAlignment="1">
      <alignment horizontal="center" vertical="center" wrapText="1"/>
    </xf>
    <xf numFmtId="0" fontId="5" fillId="25" borderId="11" xfId="79" applyFont="1" applyFill="1" applyBorder="1" applyAlignment="1">
      <alignment horizontal="center"/>
      <protection/>
    </xf>
    <xf numFmtId="0" fontId="5" fillId="25" borderId="11" xfId="79" applyFont="1" applyFill="1" applyBorder="1" applyAlignment="1">
      <alignment horizontal="left" wrapText="1"/>
      <protection/>
    </xf>
    <xf numFmtId="4" fontId="5" fillId="25" borderId="11" xfId="89" applyNumberFormat="1" applyFont="1" applyFill="1" applyBorder="1" applyAlignment="1">
      <alignment horizontal="center" vertical="center"/>
    </xf>
    <xf numFmtId="0" fontId="5" fillId="0" borderId="11" xfId="79" applyFont="1" applyFill="1" applyBorder="1" applyAlignment="1">
      <alignment horizontal="center" wrapText="1"/>
      <protection/>
    </xf>
    <xf numFmtId="4" fontId="5" fillId="0" borderId="11" xfId="0" applyNumberFormat="1" applyFont="1" applyFill="1" applyBorder="1" applyAlignment="1">
      <alignment horizontal="center"/>
    </xf>
    <xf numFmtId="4" fontId="24" fillId="0" borderId="11" xfId="0" applyNumberFormat="1" applyFont="1" applyFill="1" applyBorder="1" applyAlignment="1">
      <alignment horizontal="center"/>
    </xf>
    <xf numFmtId="0" fontId="0" fillId="0" borderId="11" xfId="79" applyFont="1" applyBorder="1">
      <alignment/>
      <protection/>
    </xf>
    <xf numFmtId="0" fontId="45" fillId="0" borderId="11" xfId="79" applyFont="1" applyFill="1" applyBorder="1" applyAlignment="1">
      <alignment horizontal="left" wrapText="1"/>
      <protection/>
    </xf>
    <xf numFmtId="4" fontId="45" fillId="0" borderId="11" xfId="0" applyNumberFormat="1" applyFont="1" applyFill="1" applyBorder="1" applyAlignment="1">
      <alignment horizontal="center"/>
    </xf>
    <xf numFmtId="0" fontId="5" fillId="0" borderId="11" xfId="0" applyFont="1" applyFill="1" applyBorder="1" applyAlignment="1">
      <alignment horizontal="center" vertical="center" wrapText="1"/>
    </xf>
    <xf numFmtId="4" fontId="24" fillId="0" borderId="11" xfId="79" applyNumberFormat="1" applyFont="1" applyBorder="1" applyAlignment="1">
      <alignment horizontal="center" wrapText="1"/>
      <protection/>
    </xf>
    <xf numFmtId="4" fontId="5" fillId="25" borderId="11" xfId="89" applyNumberFormat="1" applyFont="1" applyFill="1" applyBorder="1" applyAlignment="1">
      <alignment horizontal="left" vertical="center"/>
    </xf>
    <xf numFmtId="4" fontId="5" fillId="0" borderId="11" xfId="79" applyNumberFormat="1" applyFont="1" applyBorder="1" applyAlignment="1">
      <alignment horizontal="center" wrapText="1"/>
      <protection/>
    </xf>
    <xf numFmtId="4" fontId="5" fillId="0" borderId="11" xfId="79" applyNumberFormat="1" applyFont="1" applyFill="1" applyBorder="1" applyAlignment="1">
      <alignment horizontal="center" wrapText="1"/>
      <protection/>
    </xf>
    <xf numFmtId="16" fontId="5" fillId="25" borderId="11" xfId="79" applyNumberFormat="1" applyFont="1" applyFill="1" applyBorder="1" applyAlignment="1">
      <alignment horizontal="center"/>
      <protection/>
    </xf>
    <xf numFmtId="0" fontId="44" fillId="25" borderId="11" xfId="79" applyFont="1" applyFill="1" applyBorder="1" applyAlignment="1">
      <alignment horizontal="center" vertical="center" wrapText="1"/>
      <protection/>
    </xf>
    <xf numFmtId="0" fontId="24" fillId="0" borderId="0" xfId="79" applyFont="1" applyBorder="1" applyAlignment="1">
      <alignment vertical="top" wrapText="1"/>
      <protection/>
    </xf>
    <xf numFmtId="189" fontId="46" fillId="0" borderId="0" xfId="89" applyNumberFormat="1" applyFont="1" applyFill="1" applyBorder="1" applyAlignment="1">
      <alignment horizontal="center" vertical="center" wrapText="1"/>
    </xf>
    <xf numFmtId="0" fontId="5" fillId="0" borderId="0" xfId="79" applyFont="1" applyBorder="1" applyAlignment="1">
      <alignment horizontal="center" wrapText="1"/>
      <protection/>
    </xf>
    <xf numFmtId="0" fontId="24" fillId="25" borderId="11" xfId="79" applyFont="1" applyFill="1" applyBorder="1">
      <alignment/>
      <protection/>
    </xf>
    <xf numFmtId="0" fontId="5" fillId="0" borderId="16" xfId="79" applyFont="1" applyBorder="1" applyAlignment="1">
      <alignment horizontal="center" wrapText="1"/>
      <protection/>
    </xf>
    <xf numFmtId="0" fontId="5" fillId="0" borderId="17" xfId="79" applyFont="1" applyBorder="1" applyAlignment="1">
      <alignment horizontal="center" wrapText="1"/>
      <protection/>
    </xf>
    <xf numFmtId="4" fontId="24" fillId="0" borderId="11" xfId="79" applyNumberFormat="1" applyFont="1" applyFill="1" applyBorder="1" applyAlignment="1">
      <alignment horizontal="center" wrapText="1"/>
      <protection/>
    </xf>
    <xf numFmtId="4" fontId="18" fillId="20" borderId="11" xfId="0" applyNumberFormat="1" applyFont="1" applyFill="1" applyBorder="1" applyAlignment="1">
      <alignment horizontal="center" vertical="center"/>
    </xf>
    <xf numFmtId="0" fontId="3" fillId="20" borderId="11" xfId="79" applyFont="1" applyFill="1" applyBorder="1">
      <alignment/>
      <protection/>
    </xf>
    <xf numFmtId="4" fontId="5" fillId="25" borderId="16" xfId="89" applyNumberFormat="1" applyFont="1" applyFill="1" applyBorder="1" applyAlignment="1">
      <alignment horizontal="center" vertical="center"/>
    </xf>
    <xf numFmtId="4" fontId="5" fillId="0" borderId="16" xfId="79" applyNumberFormat="1" applyFont="1" applyBorder="1" applyAlignment="1">
      <alignment horizontal="center" wrapText="1"/>
      <protection/>
    </xf>
    <xf numFmtId="4" fontId="5" fillId="0" borderId="16" xfId="79" applyNumberFormat="1" applyFont="1" applyFill="1" applyBorder="1" applyAlignment="1">
      <alignment horizontal="center" wrapText="1"/>
      <protection/>
    </xf>
    <xf numFmtId="4" fontId="24" fillId="20" borderId="16" xfId="0" applyNumberFormat="1" applyFont="1" applyFill="1" applyBorder="1" applyAlignment="1">
      <alignment horizontal="center"/>
    </xf>
    <xf numFmtId="4" fontId="18" fillId="4" borderId="11" xfId="78" applyNumberFormat="1" applyFont="1" applyFill="1" applyBorder="1" applyAlignment="1">
      <alignment horizontal="center" vertical="center"/>
      <protection/>
    </xf>
    <xf numFmtId="4" fontId="24" fillId="4" borderId="11" xfId="0" applyNumberFormat="1" applyFont="1" applyFill="1" applyBorder="1" applyAlignment="1">
      <alignment horizontal="center"/>
    </xf>
    <xf numFmtId="0" fontId="0" fillId="4" borderId="11" xfId="79" applyFont="1" applyFill="1" applyBorder="1">
      <alignment/>
      <protection/>
    </xf>
    <xf numFmtId="4" fontId="24" fillId="20" borderId="11" xfId="0" applyNumberFormat="1" applyFont="1" applyFill="1" applyBorder="1" applyAlignment="1">
      <alignment horizontal="center"/>
    </xf>
    <xf numFmtId="4" fontId="5" fillId="0" borderId="18" xfId="0" applyNumberFormat="1" applyFont="1" applyFill="1" applyBorder="1" applyAlignment="1">
      <alignment horizontal="center"/>
    </xf>
    <xf numFmtId="4" fontId="24" fillId="5" borderId="19" xfId="0" applyNumberFormat="1" applyFont="1" applyFill="1" applyBorder="1" applyAlignment="1">
      <alignment horizontal="center"/>
    </xf>
    <xf numFmtId="4" fontId="24" fillId="5" borderId="18" xfId="0" applyNumberFormat="1" applyFont="1" applyFill="1" applyBorder="1" applyAlignment="1">
      <alignment horizontal="center"/>
    </xf>
    <xf numFmtId="0" fontId="24" fillId="0" borderId="11" xfId="0" applyFont="1" applyFill="1" applyBorder="1" applyAlignment="1">
      <alignment horizontal="center" vertical="center" wrapText="1"/>
    </xf>
    <xf numFmtId="4" fontId="24" fillId="0" borderId="17" xfId="79" applyNumberFormat="1" applyFont="1" applyBorder="1" applyAlignment="1">
      <alignment horizontal="center" wrapText="1"/>
      <protection/>
    </xf>
    <xf numFmtId="0" fontId="3" fillId="20" borderId="0" xfId="79" applyFont="1" applyFill="1">
      <alignment/>
      <protection/>
    </xf>
    <xf numFmtId="4" fontId="24" fillId="20" borderId="11" xfId="79" applyNumberFormat="1" applyFont="1" applyFill="1" applyBorder="1" applyAlignment="1">
      <alignment horizontal="center" wrapText="1"/>
      <protection/>
    </xf>
    <xf numFmtId="0" fontId="20" fillId="0" borderId="0" xfId="79" applyFont="1" applyAlignment="1">
      <alignment horizontal="center"/>
      <protection/>
    </xf>
    <xf numFmtId="0" fontId="20" fillId="0" borderId="0" xfId="79" applyFont="1" applyAlignment="1">
      <alignment horizontal="center" wrapText="1"/>
      <protection/>
    </xf>
    <xf numFmtId="4" fontId="5" fillId="25" borderId="20" xfId="89" applyNumberFormat="1" applyFont="1" applyFill="1" applyBorder="1" applyAlignment="1">
      <alignment horizontal="center" vertical="center"/>
    </xf>
    <xf numFmtId="4" fontId="5" fillId="0" borderId="21" xfId="0" applyNumberFormat="1" applyFont="1" applyFill="1" applyBorder="1" applyAlignment="1">
      <alignment horizontal="center"/>
    </xf>
    <xf numFmtId="0" fontId="0" fillId="4" borderId="20" xfId="79" applyFont="1" applyFill="1" applyBorder="1">
      <alignment/>
      <protection/>
    </xf>
    <xf numFmtId="4" fontId="24" fillId="5" borderId="20" xfId="0" applyNumberFormat="1" applyFont="1" applyFill="1" applyBorder="1" applyAlignment="1">
      <alignment horizontal="center"/>
    </xf>
    <xf numFmtId="4" fontId="5" fillId="0" borderId="20" xfId="0" applyNumberFormat="1" applyFont="1" applyFill="1" applyBorder="1" applyAlignment="1">
      <alignment horizontal="center"/>
    </xf>
    <xf numFmtId="4" fontId="18" fillId="20" borderId="20" xfId="0" applyNumberFormat="1" applyFont="1" applyFill="1" applyBorder="1" applyAlignment="1">
      <alignment horizontal="center" vertical="center"/>
    </xf>
    <xf numFmtId="4" fontId="5" fillId="25" borderId="17" xfId="89" applyNumberFormat="1" applyFont="1" applyFill="1" applyBorder="1" applyAlignment="1">
      <alignment horizontal="center" vertical="center"/>
    </xf>
    <xf numFmtId="4" fontId="5" fillId="0" borderId="17" xfId="79" applyNumberFormat="1" applyFont="1" applyBorder="1" applyAlignment="1">
      <alignment horizontal="center" wrapText="1"/>
      <protection/>
    </xf>
    <xf numFmtId="4" fontId="24" fillId="20" borderId="17" xfId="79" applyNumberFormat="1" applyFont="1" applyFill="1" applyBorder="1" applyAlignment="1">
      <alignment horizontal="center" wrapText="1"/>
      <protection/>
    </xf>
    <xf numFmtId="4" fontId="5" fillId="0" borderId="17" xfId="79" applyNumberFormat="1" applyFont="1" applyFill="1" applyBorder="1" applyAlignment="1">
      <alignment horizontal="center" wrapText="1"/>
      <protection/>
    </xf>
    <xf numFmtId="4" fontId="24" fillId="20" borderId="17" xfId="0" applyNumberFormat="1" applyFont="1" applyFill="1" applyBorder="1" applyAlignment="1">
      <alignment horizontal="center"/>
    </xf>
    <xf numFmtId="4" fontId="5" fillId="0" borderId="16" xfId="0" applyNumberFormat="1" applyFont="1" applyFill="1" applyBorder="1" applyAlignment="1">
      <alignment horizontal="center"/>
    </xf>
    <xf numFmtId="4" fontId="24" fillId="0" borderId="16" xfId="0" applyNumberFormat="1" applyFont="1" applyFill="1" applyBorder="1" applyAlignment="1">
      <alignment horizontal="center"/>
    </xf>
    <xf numFmtId="4" fontId="45" fillId="0" borderId="16" xfId="0" applyNumberFormat="1" applyFont="1" applyFill="1" applyBorder="1" applyAlignment="1">
      <alignment horizontal="center"/>
    </xf>
    <xf numFmtId="4" fontId="24" fillId="0" borderId="17" xfId="0" applyNumberFormat="1" applyFont="1" applyFill="1" applyBorder="1" applyAlignment="1">
      <alignment horizontal="center"/>
    </xf>
    <xf numFmtId="4" fontId="24" fillId="0" borderId="16" xfId="79" applyNumberFormat="1" applyFont="1" applyBorder="1" applyAlignment="1">
      <alignment horizontal="center" wrapText="1"/>
      <protection/>
    </xf>
    <xf numFmtId="0" fontId="0" fillId="0" borderId="22" xfId="79" applyFont="1" applyFill="1" applyBorder="1">
      <alignment/>
      <protection/>
    </xf>
    <xf numFmtId="4" fontId="24" fillId="0" borderId="11" xfId="89" applyNumberFormat="1" applyFont="1" applyFill="1" applyBorder="1" applyAlignment="1">
      <alignment horizontal="center" vertical="center"/>
    </xf>
    <xf numFmtId="4" fontId="0" fillId="4" borderId="20" xfId="79" applyNumberFormat="1" applyFont="1" applyFill="1" applyBorder="1">
      <alignment/>
      <protection/>
    </xf>
    <xf numFmtId="0" fontId="0" fillId="0" borderId="0" xfId="79" applyFont="1" applyFill="1" applyBorder="1">
      <alignment/>
      <protection/>
    </xf>
    <xf numFmtId="0" fontId="13" fillId="0" borderId="0" xfId="0" applyFont="1" applyBorder="1" applyAlignment="1">
      <alignment horizontal="center" vertical="center" wrapText="1"/>
    </xf>
    <xf numFmtId="0" fontId="5" fillId="0" borderId="0" xfId="79" applyFont="1" applyFill="1" applyBorder="1" applyAlignment="1">
      <alignment horizontal="center" wrapText="1"/>
      <protection/>
    </xf>
    <xf numFmtId="4" fontId="5" fillId="0" borderId="11" xfId="89" applyNumberFormat="1" applyFont="1" applyFill="1" applyBorder="1" applyAlignment="1">
      <alignment horizontal="center" vertical="center"/>
    </xf>
    <xf numFmtId="4" fontId="5" fillId="0" borderId="0" xfId="0" applyNumberFormat="1" applyFont="1" applyFill="1" applyBorder="1" applyAlignment="1">
      <alignment horizontal="center"/>
    </xf>
    <xf numFmtId="4" fontId="24" fillId="0" borderId="0" xfId="89" applyNumberFormat="1" applyFont="1" applyFill="1" applyBorder="1" applyAlignment="1">
      <alignment horizontal="center" vertical="center"/>
    </xf>
    <xf numFmtId="4" fontId="5" fillId="0" borderId="0" xfId="79" applyNumberFormat="1" applyFont="1" applyFill="1" applyBorder="1" applyAlignment="1">
      <alignment horizontal="center" wrapText="1"/>
      <protection/>
    </xf>
    <xf numFmtId="4" fontId="5" fillId="0" borderId="0" xfId="89" applyNumberFormat="1" applyFont="1" applyFill="1" applyBorder="1" applyAlignment="1">
      <alignment horizontal="center" vertical="center"/>
    </xf>
    <xf numFmtId="0" fontId="13" fillId="0" borderId="0" xfId="0" applyFont="1" applyFill="1" applyBorder="1" applyAlignment="1">
      <alignment horizontal="center" vertical="center" wrapText="1"/>
    </xf>
    <xf numFmtId="4" fontId="5" fillId="7" borderId="11" xfId="79" applyNumberFormat="1" applyFont="1" applyFill="1" applyBorder="1" applyAlignment="1">
      <alignment/>
      <protection/>
    </xf>
    <xf numFmtId="4" fontId="24" fillId="7" borderId="11" xfId="79" applyNumberFormat="1" applyFont="1" applyFill="1" applyBorder="1" applyAlignment="1">
      <alignment/>
      <protection/>
    </xf>
    <xf numFmtId="4" fontId="24" fillId="0" borderId="16" xfId="0" applyNumberFormat="1" applyFont="1" applyFill="1" applyBorder="1" applyAlignment="1">
      <alignment horizontal="center"/>
    </xf>
    <xf numFmtId="4" fontId="45" fillId="0" borderId="16" xfId="0" applyNumberFormat="1" applyFont="1" applyFill="1" applyBorder="1" applyAlignment="1">
      <alignment horizontal="center"/>
    </xf>
    <xf numFmtId="4" fontId="24" fillId="0" borderId="16" xfId="79" applyNumberFormat="1" applyFont="1" applyBorder="1" applyAlignment="1">
      <alignment horizontal="center" wrapText="1"/>
      <protection/>
    </xf>
    <xf numFmtId="4" fontId="5" fillId="0" borderId="16" xfId="79" applyNumberFormat="1" applyFont="1" applyFill="1" applyBorder="1" applyAlignment="1">
      <alignment horizontal="center" wrapText="1"/>
      <protection/>
    </xf>
    <xf numFmtId="0" fontId="3" fillId="0" borderId="0" xfId="79" applyFont="1" applyFill="1">
      <alignment/>
      <protection/>
    </xf>
    <xf numFmtId="4" fontId="5" fillId="25" borderId="11" xfId="89" applyNumberFormat="1" applyFont="1" applyFill="1" applyBorder="1" applyAlignment="1">
      <alignment horizontal="center" vertical="center"/>
    </xf>
    <xf numFmtId="0" fontId="30" fillId="0" borderId="23" xfId="0" applyNumberFormat="1" applyFont="1" applyFill="1" applyBorder="1" applyAlignment="1" applyProtection="1">
      <alignment horizontal="center" vertical="center" wrapText="1"/>
      <protection/>
    </xf>
    <xf numFmtId="0" fontId="30" fillId="0" borderId="24"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0" fillId="0" borderId="18" xfId="79" applyFont="1" applyBorder="1">
      <alignment/>
      <protection/>
    </xf>
    <xf numFmtId="4" fontId="24" fillId="0" borderId="11" xfId="0" applyNumberFormat="1" applyFont="1" applyFill="1" applyBorder="1" applyAlignment="1">
      <alignment horizontal="center"/>
    </xf>
    <xf numFmtId="0" fontId="2" fillId="0" borderId="12" xfId="0" applyNumberFormat="1" applyFont="1" applyFill="1" applyBorder="1" applyAlignment="1" applyProtection="1">
      <alignment horizontal="center" vertical="center" wrapText="1"/>
      <protection/>
    </xf>
    <xf numFmtId="0" fontId="2" fillId="0" borderId="23" xfId="0" applyNumberFormat="1" applyFont="1" applyFill="1" applyBorder="1" applyAlignment="1" applyProtection="1">
      <alignment horizontal="center" vertical="center" wrapText="1"/>
      <protection/>
    </xf>
    <xf numFmtId="0" fontId="2" fillId="0" borderId="24"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0" fillId="0" borderId="25" xfId="0" applyNumberFormat="1" applyFont="1" applyFill="1" applyBorder="1" applyAlignment="1" applyProtection="1">
      <alignment horizontal="center" vertical="center" wrapText="1"/>
      <protection/>
    </xf>
    <xf numFmtId="0" fontId="0" fillId="0" borderId="20"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24" xfId="0" applyFont="1" applyBorder="1" applyAlignment="1">
      <alignment horizontal="center" vertical="center" wrapText="1"/>
    </xf>
    <xf numFmtId="0" fontId="13" fillId="0" borderId="11" xfId="0" applyNumberFormat="1" applyFont="1" applyFill="1" applyBorder="1" applyAlignment="1" applyProtection="1">
      <alignment horizontal="center" vertical="center" wrapText="1"/>
      <protection/>
    </xf>
    <xf numFmtId="0" fontId="13" fillId="4" borderId="11" xfId="0" applyNumberFormat="1" applyFont="1" applyFill="1" applyBorder="1" applyAlignment="1" applyProtection="1">
      <alignment horizontal="center" vertical="center" wrapText="1"/>
      <protection/>
    </xf>
    <xf numFmtId="0" fontId="13" fillId="0" borderId="25" xfId="0" applyNumberFormat="1" applyFont="1" applyFill="1" applyBorder="1" applyAlignment="1" applyProtection="1">
      <alignment horizontal="center" vertical="center" wrapText="1"/>
      <protection/>
    </xf>
    <xf numFmtId="0" fontId="13" fillId="0" borderId="26" xfId="0" applyNumberFormat="1" applyFont="1" applyFill="1" applyBorder="1" applyAlignment="1" applyProtection="1">
      <alignment horizontal="center" vertical="center" wrapText="1"/>
      <protection/>
    </xf>
    <xf numFmtId="0" fontId="0" fillId="0" borderId="20" xfId="0" applyFont="1" applyBorder="1" applyAlignment="1">
      <alignment horizontal="center" vertical="center" wrapText="1"/>
    </xf>
    <xf numFmtId="0" fontId="3" fillId="4" borderId="11"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protection/>
    </xf>
    <xf numFmtId="0" fontId="0" fillId="0" borderId="0" xfId="0" applyAlignment="1">
      <alignment/>
    </xf>
    <xf numFmtId="0" fontId="18" fillId="0" borderId="0" xfId="0" applyNumberFormat="1" applyFont="1" applyFill="1" applyAlignment="1" applyProtection="1">
      <alignment horizontal="left" vertical="top"/>
      <protection/>
    </xf>
    <xf numFmtId="0" fontId="21" fillId="0" borderId="0" xfId="0" applyNumberFormat="1" applyFont="1" applyFill="1" applyAlignment="1" applyProtection="1">
      <alignment horizontal="center" vertical="center" wrapText="1"/>
      <protection/>
    </xf>
    <xf numFmtId="0" fontId="25" fillId="0" borderId="0" xfId="0" applyNumberFormat="1" applyFont="1" applyFill="1" applyBorder="1" applyAlignment="1" applyProtection="1">
      <alignment horizontal="center" vertical="top" wrapText="1"/>
      <protection/>
    </xf>
    <xf numFmtId="0" fontId="5" fillId="0" borderId="0" xfId="0" applyNumberFormat="1" applyFont="1" applyFill="1" applyBorder="1" applyAlignment="1" applyProtection="1">
      <alignment horizontal="center" vertical="top" wrapText="1"/>
      <protection/>
    </xf>
    <xf numFmtId="0" fontId="30" fillId="0" borderId="12" xfId="0" applyNumberFormat="1" applyFont="1" applyFill="1" applyBorder="1" applyAlignment="1" applyProtection="1">
      <alignment horizontal="center" vertical="center" wrapText="1"/>
      <protection/>
    </xf>
    <xf numFmtId="0" fontId="3" fillId="4" borderId="11" xfId="0" applyNumberFormat="1" applyFont="1" applyFill="1" applyBorder="1" applyAlignment="1" applyProtection="1">
      <alignment horizontal="center" vertical="center" wrapText="1"/>
      <protection/>
    </xf>
    <xf numFmtId="0" fontId="31" fillId="0" borderId="11" xfId="0" applyNumberFormat="1" applyFont="1" applyFill="1" applyBorder="1" applyAlignment="1">
      <alignment horizontal="left" vertical="center" wrapText="1"/>
    </xf>
    <xf numFmtId="0" fontId="38" fillId="0" borderId="11" xfId="0" applyNumberFormat="1" applyFont="1" applyFill="1" applyBorder="1" applyAlignment="1">
      <alignment horizontal="left" vertical="center" wrapText="1"/>
    </xf>
    <xf numFmtId="49" fontId="38" fillId="0" borderId="11" xfId="0" applyNumberFormat="1" applyFont="1" applyFill="1" applyBorder="1" applyAlignment="1">
      <alignment horizontal="center" vertical="center" shrinkToFit="1"/>
    </xf>
    <xf numFmtId="49" fontId="38" fillId="0" borderId="11" xfId="0" applyNumberFormat="1" applyFont="1" applyFill="1" applyBorder="1" applyAlignment="1">
      <alignment horizontal="left" vertical="center" wrapText="1"/>
    </xf>
    <xf numFmtId="0" fontId="39" fillId="0" borderId="0" xfId="0" applyFont="1" applyFill="1" applyBorder="1" applyAlignment="1">
      <alignment horizontal="center" vertical="center" wrapText="1"/>
    </xf>
    <xf numFmtId="0" fontId="37" fillId="0" borderId="0" xfId="0" applyFont="1" applyFill="1" applyBorder="1" applyAlignment="1">
      <alignment horizontal="center"/>
    </xf>
    <xf numFmtId="49" fontId="38" fillId="0" borderId="11" xfId="0" applyNumberFormat="1" applyFont="1" applyFill="1" applyBorder="1" applyAlignment="1">
      <alignment horizontal="justify" vertical="center" wrapText="1"/>
    </xf>
    <xf numFmtId="0" fontId="20" fillId="0" borderId="0" xfId="79" applyFont="1" applyAlignment="1">
      <alignment horizontal="center"/>
      <protection/>
    </xf>
    <xf numFmtId="0" fontId="20" fillId="0" borderId="0" xfId="79" applyFont="1" applyAlignment="1">
      <alignment horizontal="center" wrapText="1"/>
      <protection/>
    </xf>
    <xf numFmtId="0" fontId="13" fillId="0" borderId="16" xfId="0" applyFont="1" applyBorder="1" applyAlignment="1">
      <alignment horizontal="center" vertical="center" wrapText="1"/>
    </xf>
    <xf numFmtId="0" fontId="13" fillId="0" borderId="11" xfId="0" applyFont="1" applyBorder="1" applyAlignment="1">
      <alignment horizontal="center" vertical="center" wrapText="1"/>
    </xf>
    <xf numFmtId="0" fontId="25" fillId="0" borderId="0" xfId="79" applyFont="1" applyAlignment="1">
      <alignment horizontal="left"/>
      <protection/>
    </xf>
    <xf numFmtId="0" fontId="5" fillId="0" borderId="11" xfId="79" applyFont="1" applyBorder="1" applyAlignment="1">
      <alignment horizontal="center" vertical="center"/>
      <protection/>
    </xf>
    <xf numFmtId="0" fontId="5" fillId="0" borderId="16" xfId="79" applyFont="1" applyBorder="1" applyAlignment="1">
      <alignment horizontal="center" wrapText="1"/>
      <protection/>
    </xf>
    <xf numFmtId="0" fontId="5" fillId="0" borderId="17" xfId="79" applyFont="1" applyBorder="1" applyAlignment="1">
      <alignment horizontal="center" wrapText="1"/>
      <protection/>
    </xf>
    <xf numFmtId="0" fontId="5" fillId="0" borderId="20" xfId="79" applyFont="1" applyBorder="1" applyAlignment="1">
      <alignment horizontal="center" wrapText="1"/>
      <protection/>
    </xf>
    <xf numFmtId="0" fontId="5" fillId="0" borderId="27" xfId="79" applyFont="1" applyBorder="1" applyAlignment="1">
      <alignment horizontal="center" wrapText="1"/>
      <protection/>
    </xf>
    <xf numFmtId="0" fontId="5" fillId="0" borderId="28" xfId="79" applyFont="1" applyBorder="1" applyAlignment="1">
      <alignment horizontal="center" wrapText="1"/>
      <protection/>
    </xf>
    <xf numFmtId="0" fontId="13" fillId="0" borderId="18" xfId="0" applyFont="1" applyBorder="1" applyAlignment="1">
      <alignment horizontal="center" vertical="center" wrapText="1"/>
    </xf>
    <xf numFmtId="0" fontId="13" fillId="0" borderId="19" xfId="0" applyFont="1" applyBorder="1" applyAlignment="1">
      <alignment horizontal="center" vertical="center" wrapText="1"/>
    </xf>
  </cellXfs>
  <cellStyles count="7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Звичайний 10" xfId="49"/>
    <cellStyle name="Звичайний 11" xfId="50"/>
    <cellStyle name="Звичайний 12" xfId="51"/>
    <cellStyle name="Звичайний 13" xfId="52"/>
    <cellStyle name="Звичайний 14" xfId="53"/>
    <cellStyle name="Звичайний 15" xfId="54"/>
    <cellStyle name="Звичайний 16" xfId="55"/>
    <cellStyle name="Звичайний 17" xfId="56"/>
    <cellStyle name="Звичайний 18" xfId="57"/>
    <cellStyle name="Звичайний 19" xfId="58"/>
    <cellStyle name="Звичайний 2" xfId="59"/>
    <cellStyle name="Звичайний 20" xfId="60"/>
    <cellStyle name="Звичайний 3" xfId="61"/>
    <cellStyle name="Звичайний 4" xfId="62"/>
    <cellStyle name="Звичайний 5" xfId="63"/>
    <cellStyle name="Звичайний 6" xfId="64"/>
    <cellStyle name="Звичайний 7" xfId="65"/>
    <cellStyle name="Звичайний 8" xfId="66"/>
    <cellStyle name="Звичайний 9" xfId="67"/>
    <cellStyle name="Звичайний_Додаток _ 3 зм_ни 4575" xfId="68"/>
    <cellStyle name="Итог" xfId="69"/>
    <cellStyle name="Контрольная ячейка" xfId="70"/>
    <cellStyle name="Название" xfId="71"/>
    <cellStyle name="Нейтральный" xfId="72"/>
    <cellStyle name="Обычный 2" xfId="73"/>
    <cellStyle name="Обычный 3 2" xfId="74"/>
    <cellStyle name="Обычный 4" xfId="75"/>
    <cellStyle name="Обычный 9 2" xfId="76"/>
    <cellStyle name="Обычный_ZV1PIV98" xfId="77"/>
    <cellStyle name="Обычный_дод 6 із заборг" xfId="78"/>
    <cellStyle name="Обычный_дод 8 до бюджету 2012" xfId="79"/>
    <cellStyle name="Плохой" xfId="80"/>
    <cellStyle name="Пояснение" xfId="81"/>
    <cellStyle name="Примечание" xfId="82"/>
    <cellStyle name="Percent" xfId="83"/>
    <cellStyle name="Связанная ячейка" xfId="84"/>
    <cellStyle name="Стиль 1" xfId="85"/>
    <cellStyle name="Текст предупреждения" xfId="86"/>
    <cellStyle name="Comma" xfId="87"/>
    <cellStyle name="Comma [0]" xfId="88"/>
    <cellStyle name="Финансовый_дод 8 до бюджету 2012" xfId="89"/>
    <cellStyle name="Хороший" xfId="90"/>
  </cellStyles>
  <dxfs count="1">
    <dxf>
      <font>
        <color indexed="10"/>
      </font>
      <fill>
        <patternFill>
          <bgColor indexed="4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X240"/>
  <sheetViews>
    <sheetView zoomScalePageLayoutView="0" workbookViewId="0" topLeftCell="C1">
      <selection activeCell="I201" sqref="I201"/>
    </sheetView>
  </sheetViews>
  <sheetFormatPr defaultColWidth="9.16015625" defaultRowHeight="12.75"/>
  <cols>
    <col min="1" max="1" width="3.83203125" style="14" hidden="1" customWidth="1"/>
    <col min="2" max="2" width="14.5" style="14" hidden="1" customWidth="1"/>
    <col min="3" max="3" width="12.5" style="2" customWidth="1"/>
    <col min="4" max="4" width="11.66015625" style="14" customWidth="1"/>
    <col min="5" max="5" width="13.66015625" style="14" hidden="1" customWidth="1"/>
    <col min="6" max="6" width="41.66015625" style="14" customWidth="1"/>
    <col min="7" max="7" width="21.5" style="19" customWidth="1"/>
    <col min="8" max="8" width="23.66015625" style="5" customWidth="1"/>
    <col min="9" max="9" width="20" style="5" customWidth="1"/>
    <col min="10" max="10" width="17.33203125" style="5" customWidth="1"/>
    <col min="11" max="11" width="18.5" style="5" customWidth="1"/>
    <col min="12" max="12" width="18.66015625" style="5" customWidth="1"/>
    <col min="13" max="13" width="12.66015625" style="5" customWidth="1"/>
    <col min="14" max="14" width="19.33203125" style="19" customWidth="1"/>
    <col min="15" max="15" width="20.33203125" style="14" customWidth="1"/>
    <col min="16" max="16" width="18" style="14" customWidth="1"/>
    <col min="17" max="17" width="17.5" style="14" customWidth="1"/>
    <col min="18" max="18" width="19.5" style="14" customWidth="1"/>
    <col min="19" max="19" width="17.16015625" style="14" customWidth="1"/>
    <col min="20" max="20" width="17.66015625" style="14" customWidth="1"/>
    <col min="21" max="21" width="18.33203125" style="14" customWidth="1"/>
    <col min="22" max="22" width="17.83203125" style="14" customWidth="1"/>
    <col min="23" max="23" width="21.16015625" style="19" customWidth="1"/>
    <col min="24" max="24" width="9.16015625" style="18" customWidth="1"/>
    <col min="25" max="16384" width="9.16015625" style="18" customWidth="1"/>
  </cols>
  <sheetData>
    <row r="1" spans="1:23" s="51" customFormat="1" ht="18.75" customHeight="1">
      <c r="A1" s="50"/>
      <c r="B1" s="251"/>
      <c r="C1" s="251"/>
      <c r="D1" s="251"/>
      <c r="E1" s="251"/>
      <c r="F1" s="251"/>
      <c r="G1" s="251"/>
      <c r="H1" s="251"/>
      <c r="I1" s="251"/>
      <c r="J1" s="251"/>
      <c r="K1" s="251"/>
      <c r="L1" s="251"/>
      <c r="M1" s="251"/>
      <c r="N1" s="251"/>
      <c r="O1" s="251"/>
      <c r="P1" s="251"/>
      <c r="Q1" s="251"/>
      <c r="R1" s="251"/>
      <c r="S1" s="251"/>
      <c r="T1" s="251"/>
      <c r="U1" s="251"/>
      <c r="V1" s="251"/>
      <c r="W1" s="251"/>
    </row>
    <row r="2" spans="1:24" s="42" customFormat="1" ht="66" customHeight="1">
      <c r="A2" s="48"/>
      <c r="B2" s="48"/>
      <c r="C2" s="2"/>
      <c r="D2" s="48"/>
      <c r="E2" s="48"/>
      <c r="F2" s="48"/>
      <c r="G2" s="46"/>
      <c r="H2" s="1"/>
      <c r="I2" s="1"/>
      <c r="J2" s="1"/>
      <c r="K2" s="1"/>
      <c r="L2" s="1"/>
      <c r="M2" s="1"/>
      <c r="N2" s="46"/>
      <c r="O2" s="1"/>
      <c r="P2" s="1"/>
      <c r="Q2" s="1"/>
      <c r="R2" s="1"/>
      <c r="S2" s="252" t="s">
        <v>373</v>
      </c>
      <c r="T2" s="252"/>
      <c r="U2" s="252"/>
      <c r="V2" s="252"/>
      <c r="W2" s="252"/>
      <c r="X2" s="252"/>
    </row>
    <row r="3" spans="1:23" s="4" customFormat="1" ht="45" customHeight="1">
      <c r="A3" s="48"/>
      <c r="B3" s="253" t="s">
        <v>98</v>
      </c>
      <c r="C3" s="253"/>
      <c r="D3" s="254"/>
      <c r="E3" s="254"/>
      <c r="F3" s="254"/>
      <c r="G3" s="254"/>
      <c r="H3" s="254"/>
      <c r="I3" s="254"/>
      <c r="J3" s="254"/>
      <c r="K3" s="254"/>
      <c r="L3" s="254"/>
      <c r="M3" s="254"/>
      <c r="N3" s="254"/>
      <c r="O3" s="254"/>
      <c r="P3" s="254"/>
      <c r="Q3" s="254"/>
      <c r="R3" s="254"/>
      <c r="S3" s="254"/>
      <c r="T3" s="254"/>
      <c r="U3" s="254"/>
      <c r="V3" s="254"/>
      <c r="W3" s="254"/>
    </row>
    <row r="4" spans="1:23" s="42" customFormat="1" ht="18.75">
      <c r="A4" s="5"/>
      <c r="B4" s="15"/>
      <c r="C4" s="113"/>
      <c r="D4" s="61"/>
      <c r="E4" s="61"/>
      <c r="F4" s="61"/>
      <c r="G4" s="47"/>
      <c r="H4" s="6"/>
      <c r="I4" s="62"/>
      <c r="J4" s="62"/>
      <c r="K4" s="62"/>
      <c r="L4" s="61"/>
      <c r="M4" s="61"/>
      <c r="N4" s="3"/>
      <c r="O4" s="7"/>
      <c r="P4" s="7"/>
      <c r="Q4" s="7"/>
      <c r="R4" s="7"/>
      <c r="S4" s="7"/>
      <c r="T4" s="7"/>
      <c r="U4" s="7"/>
      <c r="V4" s="7"/>
      <c r="W4" s="78" t="s">
        <v>507</v>
      </c>
    </row>
    <row r="5" spans="1:23" s="42" customFormat="1" ht="21.75" customHeight="1">
      <c r="A5" s="63"/>
      <c r="B5" s="255" t="s">
        <v>19</v>
      </c>
      <c r="C5" s="234" t="s">
        <v>99</v>
      </c>
      <c r="D5" s="234" t="s">
        <v>504</v>
      </c>
      <c r="E5" s="230" t="s">
        <v>495</v>
      </c>
      <c r="F5" s="231" t="s">
        <v>117</v>
      </c>
      <c r="G5" s="243" t="s">
        <v>486</v>
      </c>
      <c r="H5" s="243"/>
      <c r="I5" s="243"/>
      <c r="J5" s="243"/>
      <c r="K5" s="243"/>
      <c r="L5" s="243"/>
      <c r="M5" s="243"/>
      <c r="N5" s="245" t="s">
        <v>487</v>
      </c>
      <c r="O5" s="246"/>
      <c r="P5" s="246"/>
      <c r="Q5" s="246"/>
      <c r="R5" s="246"/>
      <c r="S5" s="246"/>
      <c r="T5" s="246"/>
      <c r="U5" s="246"/>
      <c r="V5" s="247"/>
      <c r="W5" s="244" t="s">
        <v>488</v>
      </c>
    </row>
    <row r="6" spans="1:23" s="42" customFormat="1" ht="16.5" customHeight="1">
      <c r="A6" s="64"/>
      <c r="B6" s="228"/>
      <c r="C6" s="235"/>
      <c r="D6" s="235"/>
      <c r="E6" s="230"/>
      <c r="F6" s="237"/>
      <c r="G6" s="256" t="s">
        <v>489</v>
      </c>
      <c r="H6" s="238" t="s">
        <v>490</v>
      </c>
      <c r="I6" s="237" t="s">
        <v>491</v>
      </c>
      <c r="J6" s="237"/>
      <c r="K6" s="237"/>
      <c r="L6" s="237"/>
      <c r="M6" s="238" t="s">
        <v>492</v>
      </c>
      <c r="N6" s="248" t="s">
        <v>489</v>
      </c>
      <c r="O6" s="238" t="s">
        <v>490</v>
      </c>
      <c r="P6" s="237" t="s">
        <v>491</v>
      </c>
      <c r="Q6" s="237"/>
      <c r="R6" s="237"/>
      <c r="S6" s="237"/>
      <c r="T6" s="238" t="s">
        <v>492</v>
      </c>
      <c r="U6" s="239" t="s">
        <v>491</v>
      </c>
      <c r="V6" s="240"/>
      <c r="W6" s="244"/>
    </row>
    <row r="7" spans="1:23" s="42" customFormat="1" ht="20.25" customHeight="1">
      <c r="A7" s="65"/>
      <c r="B7" s="228"/>
      <c r="C7" s="235"/>
      <c r="D7" s="235"/>
      <c r="E7" s="230"/>
      <c r="F7" s="237"/>
      <c r="G7" s="256"/>
      <c r="H7" s="238"/>
      <c r="I7" s="237" t="s">
        <v>22</v>
      </c>
      <c r="J7" s="241" t="s">
        <v>354</v>
      </c>
      <c r="K7" s="241" t="s">
        <v>355</v>
      </c>
      <c r="L7" s="237" t="s">
        <v>493</v>
      </c>
      <c r="M7" s="238"/>
      <c r="N7" s="248"/>
      <c r="O7" s="238"/>
      <c r="P7" s="237" t="s">
        <v>22</v>
      </c>
      <c r="Q7" s="241" t="s">
        <v>354</v>
      </c>
      <c r="R7" s="241" t="s">
        <v>355</v>
      </c>
      <c r="S7" s="237" t="s">
        <v>493</v>
      </c>
      <c r="T7" s="238"/>
      <c r="U7" s="237" t="s">
        <v>500</v>
      </c>
      <c r="V7" s="34" t="s">
        <v>491</v>
      </c>
      <c r="W7" s="244"/>
    </row>
    <row r="8" spans="1:23" s="42" customFormat="1" ht="114.75" customHeight="1">
      <c r="A8" s="66"/>
      <c r="B8" s="229"/>
      <c r="C8" s="236"/>
      <c r="D8" s="236"/>
      <c r="E8" s="230"/>
      <c r="F8" s="237"/>
      <c r="G8" s="256"/>
      <c r="H8" s="238"/>
      <c r="I8" s="237"/>
      <c r="J8" s="242"/>
      <c r="K8" s="242"/>
      <c r="L8" s="237"/>
      <c r="M8" s="238"/>
      <c r="N8" s="248"/>
      <c r="O8" s="238"/>
      <c r="P8" s="237"/>
      <c r="Q8" s="242"/>
      <c r="R8" s="242"/>
      <c r="S8" s="237"/>
      <c r="T8" s="238"/>
      <c r="U8" s="237"/>
      <c r="V8" s="34" t="s">
        <v>358</v>
      </c>
      <c r="W8" s="244"/>
    </row>
    <row r="9" spans="1:23" s="68" customFormat="1" ht="28.5" customHeight="1">
      <c r="A9" s="67"/>
      <c r="B9" s="16" t="s">
        <v>498</v>
      </c>
      <c r="C9" s="21" t="s">
        <v>100</v>
      </c>
      <c r="D9" s="21"/>
      <c r="E9" s="21"/>
      <c r="F9" s="22" t="s">
        <v>508</v>
      </c>
      <c r="G9" s="53">
        <f>G10</f>
        <v>10538064</v>
      </c>
      <c r="H9" s="53">
        <f aca="true" t="shared" si="0" ref="H9:W9">H10</f>
        <v>10538064</v>
      </c>
      <c r="I9" s="53">
        <f t="shared" si="0"/>
        <v>3502774</v>
      </c>
      <c r="J9" s="53"/>
      <c r="K9" s="53">
        <f t="shared" si="0"/>
        <v>34190</v>
      </c>
      <c r="L9" s="53">
        <f t="shared" si="0"/>
        <v>1134597</v>
      </c>
      <c r="M9" s="53"/>
      <c r="N9" s="53">
        <f t="shared" si="0"/>
        <v>3904326.13</v>
      </c>
      <c r="O9" s="53">
        <f t="shared" si="0"/>
        <v>3832374</v>
      </c>
      <c r="P9" s="53">
        <f t="shared" si="0"/>
        <v>204544</v>
      </c>
      <c r="Q9" s="53"/>
      <c r="R9" s="53"/>
      <c r="S9" s="53">
        <f t="shared" si="0"/>
        <v>2151204</v>
      </c>
      <c r="T9" s="53">
        <f t="shared" si="0"/>
        <v>71952.13</v>
      </c>
      <c r="U9" s="53">
        <f t="shared" si="0"/>
        <v>71952.13</v>
      </c>
      <c r="V9" s="53"/>
      <c r="W9" s="53">
        <f t="shared" si="0"/>
        <v>14442390.129999999</v>
      </c>
    </row>
    <row r="10" spans="1:23" s="68" customFormat="1" ht="28.5" customHeight="1">
      <c r="A10" s="67"/>
      <c r="B10" s="16" t="s">
        <v>498</v>
      </c>
      <c r="C10" s="21" t="s">
        <v>101</v>
      </c>
      <c r="D10" s="21"/>
      <c r="E10" s="21"/>
      <c r="F10" s="22" t="s">
        <v>508</v>
      </c>
      <c r="G10" s="53">
        <f>G11+G12+G13+G15+G17</f>
        <v>10538064</v>
      </c>
      <c r="H10" s="53">
        <f>H11+H12+H13+H15+H17</f>
        <v>10538064</v>
      </c>
      <c r="I10" s="53">
        <f>I11+I12+I13+I15+I17</f>
        <v>3502774</v>
      </c>
      <c r="J10" s="53"/>
      <c r="K10" s="53">
        <f>K11+K12+K13+K15+K17</f>
        <v>34190</v>
      </c>
      <c r="L10" s="53">
        <f>L11+L12+L13+L15+L17</f>
        <v>1134597</v>
      </c>
      <c r="M10" s="53"/>
      <c r="N10" s="53">
        <f>O10+T10</f>
        <v>3904326.13</v>
      </c>
      <c r="O10" s="53">
        <f aca="true" t="shared" si="1" ref="O10:U10">O11+O12+O13+O15+O17</f>
        <v>3832374</v>
      </c>
      <c r="P10" s="53">
        <f t="shared" si="1"/>
        <v>204544</v>
      </c>
      <c r="Q10" s="53"/>
      <c r="R10" s="53"/>
      <c r="S10" s="53">
        <f t="shared" si="1"/>
        <v>2151204</v>
      </c>
      <c r="T10" s="53">
        <f t="shared" si="1"/>
        <v>71952.13</v>
      </c>
      <c r="U10" s="53">
        <f t="shared" si="1"/>
        <v>71952.13</v>
      </c>
      <c r="V10" s="53"/>
      <c r="W10" s="53">
        <f>G10+N10</f>
        <v>14442390.129999999</v>
      </c>
    </row>
    <row r="11" spans="1:23" s="42" customFormat="1" ht="60">
      <c r="A11" s="48"/>
      <c r="B11" s="16" t="s">
        <v>505</v>
      </c>
      <c r="C11" s="17" t="s">
        <v>102</v>
      </c>
      <c r="D11" s="17" t="s">
        <v>499</v>
      </c>
      <c r="E11" s="17" t="s">
        <v>494</v>
      </c>
      <c r="F11" s="12" t="s">
        <v>167</v>
      </c>
      <c r="G11" s="54">
        <f>H11+M11</f>
        <v>6910902</v>
      </c>
      <c r="H11" s="56">
        <v>6910902</v>
      </c>
      <c r="I11" s="56">
        <v>3351974</v>
      </c>
      <c r="J11" s="56"/>
      <c r="K11" s="56"/>
      <c r="L11" s="56">
        <v>1134597</v>
      </c>
      <c r="M11" s="55"/>
      <c r="N11" s="54">
        <f>O11+T11</f>
        <v>3904326.13</v>
      </c>
      <c r="O11" s="56">
        <v>3832374</v>
      </c>
      <c r="P11" s="56">
        <v>204544</v>
      </c>
      <c r="Q11" s="56"/>
      <c r="R11" s="56"/>
      <c r="S11" s="56">
        <v>2151204</v>
      </c>
      <c r="T11" s="56">
        <v>71952.13</v>
      </c>
      <c r="U11" s="56">
        <v>71952.13</v>
      </c>
      <c r="V11" s="55"/>
      <c r="W11" s="54">
        <f aca="true" t="shared" si="2" ref="W11:W33">G11+N11</f>
        <v>10815228.129999999</v>
      </c>
    </row>
    <row r="12" spans="1:23" s="42" customFormat="1" ht="30">
      <c r="A12" s="48"/>
      <c r="B12" s="9" t="s">
        <v>496</v>
      </c>
      <c r="C12" s="17" t="s">
        <v>104</v>
      </c>
      <c r="D12" s="17" t="s">
        <v>513</v>
      </c>
      <c r="E12" s="17" t="s">
        <v>23</v>
      </c>
      <c r="F12" s="20" t="s">
        <v>169</v>
      </c>
      <c r="G12" s="54">
        <f>H12+M12</f>
        <v>493500</v>
      </c>
      <c r="H12" s="56">
        <v>493500</v>
      </c>
      <c r="I12" s="56"/>
      <c r="J12" s="56"/>
      <c r="K12" s="56">
        <v>34190</v>
      </c>
      <c r="L12" s="56"/>
      <c r="M12" s="56"/>
      <c r="N12" s="54"/>
      <c r="O12" s="56"/>
      <c r="P12" s="56"/>
      <c r="Q12" s="56"/>
      <c r="R12" s="56"/>
      <c r="S12" s="56"/>
      <c r="T12" s="56"/>
      <c r="U12" s="56"/>
      <c r="V12" s="56"/>
      <c r="W12" s="54">
        <f t="shared" si="2"/>
        <v>493500</v>
      </c>
    </row>
    <row r="13" spans="1:23" s="42" customFormat="1" ht="15">
      <c r="A13" s="48"/>
      <c r="B13" s="9"/>
      <c r="C13" s="17" t="s">
        <v>103</v>
      </c>
      <c r="D13" s="17" t="s">
        <v>512</v>
      </c>
      <c r="E13" s="17" t="s">
        <v>21</v>
      </c>
      <c r="F13" s="20" t="s">
        <v>168</v>
      </c>
      <c r="G13" s="54">
        <f>H13+M13</f>
        <v>67370</v>
      </c>
      <c r="H13" s="56">
        <v>67370</v>
      </c>
      <c r="I13" s="56"/>
      <c r="J13" s="56"/>
      <c r="K13" s="56"/>
      <c r="L13" s="56"/>
      <c r="M13" s="56"/>
      <c r="N13" s="54"/>
      <c r="O13" s="56"/>
      <c r="P13" s="56"/>
      <c r="Q13" s="56"/>
      <c r="R13" s="56"/>
      <c r="S13" s="56"/>
      <c r="T13" s="56"/>
      <c r="U13" s="56"/>
      <c r="V13" s="56"/>
      <c r="W13" s="54">
        <f t="shared" si="2"/>
        <v>67370</v>
      </c>
    </row>
    <row r="14" spans="1:23" s="42" customFormat="1" ht="30">
      <c r="A14" s="48"/>
      <c r="B14" s="9"/>
      <c r="C14" s="17"/>
      <c r="D14" s="17"/>
      <c r="E14" s="17"/>
      <c r="F14" s="20" t="s">
        <v>68</v>
      </c>
      <c r="G14" s="54">
        <f>G13</f>
        <v>67370</v>
      </c>
      <c r="H14" s="56">
        <f>H13</f>
        <v>67370</v>
      </c>
      <c r="I14" s="56"/>
      <c r="J14" s="56"/>
      <c r="K14" s="56"/>
      <c r="L14" s="56"/>
      <c r="M14" s="56"/>
      <c r="N14" s="54"/>
      <c r="O14" s="56"/>
      <c r="P14" s="56"/>
      <c r="Q14" s="56"/>
      <c r="R14" s="56"/>
      <c r="S14" s="56"/>
      <c r="T14" s="56"/>
      <c r="U14" s="56"/>
      <c r="V14" s="56"/>
      <c r="W14" s="54">
        <f t="shared" si="2"/>
        <v>67370</v>
      </c>
    </row>
    <row r="15" spans="1:23" s="42" customFormat="1" ht="75">
      <c r="A15" s="48"/>
      <c r="B15" s="9"/>
      <c r="C15" s="17" t="s">
        <v>105</v>
      </c>
      <c r="D15" s="17" t="s">
        <v>24</v>
      </c>
      <c r="E15" s="17" t="s">
        <v>25</v>
      </c>
      <c r="F15" s="20" t="s">
        <v>170</v>
      </c>
      <c r="G15" s="54">
        <f>H15+M15</f>
        <v>768400</v>
      </c>
      <c r="H15" s="56">
        <v>768400</v>
      </c>
      <c r="I15" s="56"/>
      <c r="J15" s="56"/>
      <c r="K15" s="56"/>
      <c r="L15" s="56"/>
      <c r="M15" s="56"/>
      <c r="N15" s="54"/>
      <c r="O15" s="56"/>
      <c r="P15" s="56"/>
      <c r="Q15" s="56"/>
      <c r="R15" s="56"/>
      <c r="S15" s="56"/>
      <c r="T15" s="56"/>
      <c r="U15" s="56"/>
      <c r="V15" s="56"/>
      <c r="W15" s="54">
        <f t="shared" si="2"/>
        <v>768400</v>
      </c>
    </row>
    <row r="16" spans="1:23" s="42" customFormat="1" ht="45">
      <c r="A16" s="48"/>
      <c r="B16" s="9"/>
      <c r="C16" s="17"/>
      <c r="D16" s="17"/>
      <c r="E16" s="17"/>
      <c r="F16" s="20" t="s">
        <v>251</v>
      </c>
      <c r="G16" s="54">
        <f>H16+M16</f>
        <v>430656</v>
      </c>
      <c r="H16" s="56">
        <v>430656</v>
      </c>
      <c r="I16" s="56"/>
      <c r="J16" s="56"/>
      <c r="K16" s="56"/>
      <c r="L16" s="56"/>
      <c r="M16" s="56"/>
      <c r="N16" s="54"/>
      <c r="O16" s="56"/>
      <c r="P16" s="56"/>
      <c r="Q16" s="56"/>
      <c r="R16" s="56"/>
      <c r="S16" s="56"/>
      <c r="T16" s="56"/>
      <c r="U16" s="56"/>
      <c r="V16" s="56"/>
      <c r="W16" s="54">
        <f t="shared" si="2"/>
        <v>430656</v>
      </c>
    </row>
    <row r="17" spans="1:23" s="42" customFormat="1" ht="15">
      <c r="A17" s="48"/>
      <c r="B17" s="9"/>
      <c r="C17" s="17" t="s">
        <v>106</v>
      </c>
      <c r="D17" s="17" t="s">
        <v>517</v>
      </c>
      <c r="E17" s="17" t="s">
        <v>26</v>
      </c>
      <c r="F17" s="20" t="s">
        <v>1</v>
      </c>
      <c r="G17" s="54">
        <f>SUM(G18:G23)</f>
        <v>2297892</v>
      </c>
      <c r="H17" s="55">
        <f>SUM(H18:H23)</f>
        <v>2297892</v>
      </c>
      <c r="I17" s="55">
        <f>SUM(I18:I23)</f>
        <v>150800</v>
      </c>
      <c r="J17" s="55"/>
      <c r="K17" s="55"/>
      <c r="L17" s="55"/>
      <c r="M17" s="56"/>
      <c r="N17" s="54"/>
      <c r="O17" s="56"/>
      <c r="P17" s="56"/>
      <c r="Q17" s="56"/>
      <c r="R17" s="56"/>
      <c r="S17" s="56"/>
      <c r="T17" s="56"/>
      <c r="U17" s="56"/>
      <c r="V17" s="56"/>
      <c r="W17" s="54">
        <f t="shared" si="2"/>
        <v>2297892</v>
      </c>
    </row>
    <row r="18" spans="1:23" s="42" customFormat="1" ht="76.5" customHeight="1">
      <c r="A18" s="48"/>
      <c r="B18" s="9"/>
      <c r="C18" s="17"/>
      <c r="D18" s="17"/>
      <c r="E18" s="17"/>
      <c r="F18" s="43" t="s">
        <v>54</v>
      </c>
      <c r="G18" s="54">
        <f>H18+M18</f>
        <v>390600</v>
      </c>
      <c r="H18" s="56">
        <v>390600</v>
      </c>
      <c r="I18" s="56"/>
      <c r="J18" s="56"/>
      <c r="K18" s="56"/>
      <c r="L18" s="56"/>
      <c r="M18" s="56"/>
      <c r="N18" s="54"/>
      <c r="O18" s="56"/>
      <c r="P18" s="56"/>
      <c r="Q18" s="56"/>
      <c r="R18" s="56"/>
      <c r="S18" s="56"/>
      <c r="T18" s="56"/>
      <c r="U18" s="56"/>
      <c r="V18" s="56"/>
      <c r="W18" s="54">
        <f t="shared" si="2"/>
        <v>390600</v>
      </c>
    </row>
    <row r="19" spans="1:23" s="42" customFormat="1" ht="15">
      <c r="A19" s="48"/>
      <c r="B19" s="9"/>
      <c r="C19" s="17"/>
      <c r="D19" s="17"/>
      <c r="E19" s="17"/>
      <c r="F19" s="43" t="s">
        <v>55</v>
      </c>
      <c r="G19" s="54">
        <f>H19+M19</f>
        <v>199600</v>
      </c>
      <c r="H19" s="56">
        <v>199600</v>
      </c>
      <c r="I19" s="56">
        <v>150800</v>
      </c>
      <c r="J19" s="56"/>
      <c r="K19" s="56"/>
      <c r="L19" s="56"/>
      <c r="M19" s="56"/>
      <c r="N19" s="54"/>
      <c r="O19" s="56"/>
      <c r="P19" s="56"/>
      <c r="Q19" s="56"/>
      <c r="R19" s="56"/>
      <c r="S19" s="56"/>
      <c r="T19" s="56"/>
      <c r="U19" s="56"/>
      <c r="V19" s="56"/>
      <c r="W19" s="54">
        <f t="shared" si="2"/>
        <v>199600</v>
      </c>
    </row>
    <row r="20" spans="1:23" s="42" customFormat="1" ht="30">
      <c r="A20" s="48"/>
      <c r="B20" s="9"/>
      <c r="C20" s="17"/>
      <c r="D20" s="17"/>
      <c r="E20" s="17"/>
      <c r="F20" s="43" t="s">
        <v>56</v>
      </c>
      <c r="G20" s="54">
        <f>H20+M20</f>
        <v>71800</v>
      </c>
      <c r="H20" s="56">
        <v>71800</v>
      </c>
      <c r="I20" s="56"/>
      <c r="J20" s="56"/>
      <c r="K20" s="56"/>
      <c r="L20" s="56"/>
      <c r="M20" s="56"/>
      <c r="N20" s="54"/>
      <c r="O20" s="56"/>
      <c r="P20" s="56"/>
      <c r="Q20" s="56"/>
      <c r="R20" s="56"/>
      <c r="S20" s="56"/>
      <c r="T20" s="56"/>
      <c r="U20" s="56"/>
      <c r="V20" s="56"/>
      <c r="W20" s="54">
        <f t="shared" si="2"/>
        <v>71800</v>
      </c>
    </row>
    <row r="21" spans="1:23" s="42" customFormat="1" ht="45">
      <c r="A21" s="48"/>
      <c r="B21" s="9"/>
      <c r="C21" s="17"/>
      <c r="D21" s="17"/>
      <c r="E21" s="17"/>
      <c r="F21" s="43" t="s">
        <v>57</v>
      </c>
      <c r="G21" s="54">
        <f>H21+M21</f>
        <v>1532535</v>
      </c>
      <c r="H21" s="126">
        <f>1512472+20063</f>
        <v>1532535</v>
      </c>
      <c r="I21" s="56"/>
      <c r="J21" s="56"/>
      <c r="K21" s="56"/>
      <c r="L21" s="56"/>
      <c r="M21" s="56"/>
      <c r="N21" s="54"/>
      <c r="O21" s="56"/>
      <c r="P21" s="56"/>
      <c r="Q21" s="56"/>
      <c r="R21" s="56"/>
      <c r="S21" s="56"/>
      <c r="T21" s="56"/>
      <c r="U21" s="56"/>
      <c r="V21" s="56"/>
      <c r="W21" s="54">
        <f t="shared" si="2"/>
        <v>1532535</v>
      </c>
    </row>
    <row r="22" spans="1:23" s="42" customFormat="1" ht="45">
      <c r="A22" s="48"/>
      <c r="B22" s="9"/>
      <c r="C22" s="17"/>
      <c r="D22" s="17"/>
      <c r="E22" s="17"/>
      <c r="F22" s="43" t="s">
        <v>225</v>
      </c>
      <c r="G22" s="54">
        <v>2000</v>
      </c>
      <c r="H22" s="56">
        <v>2000</v>
      </c>
      <c r="I22" s="56"/>
      <c r="J22" s="56"/>
      <c r="K22" s="56"/>
      <c r="L22" s="56"/>
      <c r="M22" s="56"/>
      <c r="N22" s="54"/>
      <c r="O22" s="56"/>
      <c r="P22" s="56"/>
      <c r="Q22" s="56"/>
      <c r="R22" s="56"/>
      <c r="S22" s="56"/>
      <c r="T22" s="56"/>
      <c r="U22" s="56"/>
      <c r="V22" s="56"/>
      <c r="W22" s="54">
        <f t="shared" si="2"/>
        <v>2000</v>
      </c>
    </row>
    <row r="23" spans="1:23" s="42" customFormat="1" ht="75">
      <c r="A23" s="48"/>
      <c r="B23" s="9"/>
      <c r="C23" s="17"/>
      <c r="D23" s="17"/>
      <c r="E23" s="17"/>
      <c r="F23" s="43" t="s">
        <v>58</v>
      </c>
      <c r="G23" s="54">
        <f>H23+M23</f>
        <v>101357</v>
      </c>
      <c r="H23" s="56">
        <v>101357</v>
      </c>
      <c r="I23" s="56"/>
      <c r="J23" s="56"/>
      <c r="K23" s="56"/>
      <c r="L23" s="56"/>
      <c r="M23" s="56"/>
      <c r="N23" s="54"/>
      <c r="O23" s="56"/>
      <c r="P23" s="56"/>
      <c r="Q23" s="56"/>
      <c r="R23" s="56"/>
      <c r="S23" s="56"/>
      <c r="T23" s="56"/>
      <c r="U23" s="56"/>
      <c r="V23" s="56"/>
      <c r="W23" s="54">
        <f t="shared" si="2"/>
        <v>101357</v>
      </c>
    </row>
    <row r="24" spans="1:23" s="68" customFormat="1" ht="42.75">
      <c r="A24" s="67"/>
      <c r="B24" s="9"/>
      <c r="C24" s="21" t="s">
        <v>107</v>
      </c>
      <c r="D24" s="21"/>
      <c r="E24" s="21"/>
      <c r="F24" s="22" t="s">
        <v>108</v>
      </c>
      <c r="G24" s="53">
        <f>G26</f>
        <v>6137986</v>
      </c>
      <c r="H24" s="53">
        <f>H26</f>
        <v>6137986</v>
      </c>
      <c r="I24" s="53">
        <f>I26</f>
        <v>5138438</v>
      </c>
      <c r="J24" s="53"/>
      <c r="K24" s="53"/>
      <c r="L24" s="53">
        <f>L26</f>
        <v>374290</v>
      </c>
      <c r="M24" s="53"/>
      <c r="N24" s="53"/>
      <c r="O24" s="53"/>
      <c r="P24" s="53"/>
      <c r="Q24" s="53"/>
      <c r="R24" s="53"/>
      <c r="S24" s="53"/>
      <c r="T24" s="53"/>
      <c r="U24" s="53"/>
      <c r="V24" s="53"/>
      <c r="W24" s="53">
        <f t="shared" si="2"/>
        <v>6137986</v>
      </c>
    </row>
    <row r="25" spans="1:23" s="68" customFormat="1" ht="42.75">
      <c r="A25" s="67"/>
      <c r="B25" s="9"/>
      <c r="C25" s="21" t="s">
        <v>109</v>
      </c>
      <c r="D25" s="21"/>
      <c r="E25" s="21"/>
      <c r="F25" s="22" t="s">
        <v>108</v>
      </c>
      <c r="G25" s="53">
        <f>G26</f>
        <v>6137986</v>
      </c>
      <c r="H25" s="53">
        <f>H26</f>
        <v>6137986</v>
      </c>
      <c r="I25" s="53">
        <f>I26</f>
        <v>5138438</v>
      </c>
      <c r="J25" s="53"/>
      <c r="K25" s="53"/>
      <c r="L25" s="53">
        <f>L26</f>
        <v>374290</v>
      </c>
      <c r="M25" s="53"/>
      <c r="N25" s="53"/>
      <c r="O25" s="53"/>
      <c r="P25" s="53"/>
      <c r="Q25" s="53"/>
      <c r="R25" s="53"/>
      <c r="S25" s="53"/>
      <c r="T25" s="53"/>
      <c r="U25" s="53"/>
      <c r="V25" s="53"/>
      <c r="W25" s="53">
        <f>W26</f>
        <v>6137986</v>
      </c>
    </row>
    <row r="26" spans="1:23" s="42" customFormat="1" ht="60">
      <c r="A26" s="48"/>
      <c r="B26" s="17" t="s">
        <v>505</v>
      </c>
      <c r="C26" s="17" t="s">
        <v>110</v>
      </c>
      <c r="D26" s="17" t="s">
        <v>499</v>
      </c>
      <c r="E26" s="17" t="s">
        <v>494</v>
      </c>
      <c r="F26" s="12" t="s">
        <v>167</v>
      </c>
      <c r="G26" s="54">
        <f>H26+M26</f>
        <v>6137986</v>
      </c>
      <c r="H26" s="56">
        <v>6137986</v>
      </c>
      <c r="I26" s="56">
        <v>5138438</v>
      </c>
      <c r="J26" s="56"/>
      <c r="K26" s="56"/>
      <c r="L26" s="56">
        <v>374290</v>
      </c>
      <c r="M26" s="56"/>
      <c r="N26" s="54"/>
      <c r="O26" s="56"/>
      <c r="P26" s="56"/>
      <c r="Q26" s="56"/>
      <c r="R26" s="56"/>
      <c r="S26" s="56"/>
      <c r="T26" s="56"/>
      <c r="U26" s="56"/>
      <c r="V26" s="56"/>
      <c r="W26" s="54">
        <f t="shared" si="2"/>
        <v>6137986</v>
      </c>
    </row>
    <row r="27" spans="1:23" s="68" customFormat="1" ht="28.5">
      <c r="A27" s="67"/>
      <c r="B27" s="9"/>
      <c r="C27" s="21" t="s">
        <v>111</v>
      </c>
      <c r="D27" s="21"/>
      <c r="E27" s="21"/>
      <c r="F27" s="22" t="s">
        <v>518</v>
      </c>
      <c r="G27" s="53">
        <f>G29+G30+G51+G57+G62+G67+G71+G72+G74</f>
        <v>399962511</v>
      </c>
      <c r="H27" s="53">
        <f aca="true" t="shared" si="3" ref="H27:U27">H29+H30+H51+H57+H62+H67+H71+H72+H74</f>
        <v>399962511</v>
      </c>
      <c r="I27" s="53">
        <f t="shared" si="3"/>
        <v>295722202</v>
      </c>
      <c r="J27" s="53">
        <f t="shared" si="3"/>
        <v>56074</v>
      </c>
      <c r="K27" s="53">
        <f t="shared" si="3"/>
        <v>21994382</v>
      </c>
      <c r="L27" s="53">
        <f t="shared" si="3"/>
        <v>63057786.650000006</v>
      </c>
      <c r="M27" s="53"/>
      <c r="N27" s="53">
        <f t="shared" si="3"/>
        <v>36138597.72</v>
      </c>
      <c r="O27" s="53">
        <f t="shared" si="3"/>
        <v>31995102.8</v>
      </c>
      <c r="P27" s="53">
        <f t="shared" si="3"/>
        <v>9603736</v>
      </c>
      <c r="Q27" s="53">
        <f t="shared" si="3"/>
        <v>4100</v>
      </c>
      <c r="R27" s="53">
        <f t="shared" si="3"/>
        <v>15002500</v>
      </c>
      <c r="S27" s="53">
        <f t="shared" si="3"/>
        <v>1377580</v>
      </c>
      <c r="T27" s="53">
        <f t="shared" si="3"/>
        <v>4143494.92</v>
      </c>
      <c r="U27" s="53">
        <f t="shared" si="3"/>
        <v>2736994.92</v>
      </c>
      <c r="V27" s="53"/>
      <c r="W27" s="53">
        <f t="shared" si="2"/>
        <v>436101108.72</v>
      </c>
    </row>
    <row r="28" spans="1:23" s="68" customFormat="1" ht="28.5">
      <c r="A28" s="67"/>
      <c r="B28" s="9"/>
      <c r="C28" s="21" t="s">
        <v>111</v>
      </c>
      <c r="D28" s="21"/>
      <c r="E28" s="21"/>
      <c r="F28" s="22" t="s">
        <v>518</v>
      </c>
      <c r="G28" s="53">
        <f>G29+G30+G51+G57+G62+G67+G71+G72+G74</f>
        <v>399962511</v>
      </c>
      <c r="H28" s="53">
        <f aca="true" t="shared" si="4" ref="H28:N28">H29+H30+H51+H57+H62+H67+H71+H72+H74</f>
        <v>399962511</v>
      </c>
      <c r="I28" s="53">
        <f t="shared" si="4"/>
        <v>295722202</v>
      </c>
      <c r="J28" s="53">
        <f t="shared" si="4"/>
        <v>56074</v>
      </c>
      <c r="K28" s="53">
        <f t="shared" si="4"/>
        <v>21994382</v>
      </c>
      <c r="L28" s="53">
        <f t="shared" si="4"/>
        <v>63057786.650000006</v>
      </c>
      <c r="M28" s="53"/>
      <c r="N28" s="53">
        <f t="shared" si="4"/>
        <v>36138597.72</v>
      </c>
      <c r="O28" s="53">
        <f aca="true" t="shared" si="5" ref="O28:U28">O29+O30+O51+O57+O62+O67+O71+O72+O74</f>
        <v>31995102.8</v>
      </c>
      <c r="P28" s="53">
        <f t="shared" si="5"/>
        <v>9603736</v>
      </c>
      <c r="Q28" s="53">
        <f t="shared" si="5"/>
        <v>4100</v>
      </c>
      <c r="R28" s="53">
        <f t="shared" si="5"/>
        <v>15002500</v>
      </c>
      <c r="S28" s="53">
        <f t="shared" si="5"/>
        <v>1377580</v>
      </c>
      <c r="T28" s="53">
        <f t="shared" si="5"/>
        <v>4143494.92</v>
      </c>
      <c r="U28" s="53">
        <f t="shared" si="5"/>
        <v>2736994.92</v>
      </c>
      <c r="V28" s="53"/>
      <c r="W28" s="53">
        <f>G28+N28</f>
        <v>436101108.72</v>
      </c>
    </row>
    <row r="29" spans="1:23" s="42" customFormat="1" ht="60">
      <c r="A29" s="48"/>
      <c r="B29" s="17" t="s">
        <v>505</v>
      </c>
      <c r="C29" s="17" t="s">
        <v>112</v>
      </c>
      <c r="D29" s="17" t="s">
        <v>499</v>
      </c>
      <c r="E29" s="17" t="s">
        <v>494</v>
      </c>
      <c r="F29" s="12" t="s">
        <v>167</v>
      </c>
      <c r="G29" s="54">
        <f>H29+M29</f>
        <v>4222900</v>
      </c>
      <c r="H29" s="56">
        <v>4222900</v>
      </c>
      <c r="I29" s="56">
        <v>3975902</v>
      </c>
      <c r="J29" s="56"/>
      <c r="K29" s="56"/>
      <c r="L29" s="56">
        <v>98961</v>
      </c>
      <c r="M29" s="56"/>
      <c r="N29" s="54"/>
      <c r="O29" s="56"/>
      <c r="P29" s="56"/>
      <c r="Q29" s="56"/>
      <c r="R29" s="56"/>
      <c r="S29" s="56"/>
      <c r="T29" s="56"/>
      <c r="U29" s="56"/>
      <c r="V29" s="56"/>
      <c r="W29" s="54">
        <f t="shared" si="2"/>
        <v>4222900</v>
      </c>
    </row>
    <row r="30" spans="1:23" s="42" customFormat="1" ht="14.25">
      <c r="A30" s="48"/>
      <c r="B30" s="9"/>
      <c r="C30" s="16" t="s">
        <v>113</v>
      </c>
      <c r="D30" s="16" t="s">
        <v>519</v>
      </c>
      <c r="E30" s="16"/>
      <c r="F30" s="10" t="s">
        <v>520</v>
      </c>
      <c r="G30" s="54">
        <f>H30+M30</f>
        <v>336552948</v>
      </c>
      <c r="H30" s="57">
        <f>SUM(H31:H50)-H31-H32-H35-H37-H38-H39-H41-H33</f>
        <v>336552948</v>
      </c>
      <c r="I30" s="57">
        <f>SUM(I31:I50)-I31-I32-I35-I37-I38-I39-I41-I33</f>
        <v>251964700</v>
      </c>
      <c r="J30" s="57">
        <f>SUM(J31:J50)-J31-J32-J35-J37-J38-J39-J41-J33</f>
        <v>45200</v>
      </c>
      <c r="K30" s="57">
        <f>SUM(K31:K50)-K31-K32-K35-K37-K38-K39-K41-K33</f>
        <v>21804641</v>
      </c>
      <c r="L30" s="57">
        <f>SUM(L31:L50)-L31-L32-L35-L37-L38-L39-L41-L33</f>
        <v>59404667.650000006</v>
      </c>
      <c r="M30" s="57"/>
      <c r="N30" s="54">
        <f>O30+T30</f>
        <v>33103661.67</v>
      </c>
      <c r="O30" s="57">
        <f aca="true" t="shared" si="6" ref="O30:U30">SUM(O31:O50)-O31-O32-O35-O37-O38</f>
        <v>30012500</v>
      </c>
      <c r="P30" s="57">
        <f t="shared" si="6"/>
        <v>8025000</v>
      </c>
      <c r="Q30" s="57">
        <f t="shared" si="6"/>
        <v>4100</v>
      </c>
      <c r="R30" s="57">
        <f t="shared" si="6"/>
        <v>15002500</v>
      </c>
      <c r="S30" s="57">
        <f t="shared" si="6"/>
        <v>1311800</v>
      </c>
      <c r="T30" s="57">
        <f t="shared" si="6"/>
        <v>3091161.67</v>
      </c>
      <c r="U30" s="57">
        <f t="shared" si="6"/>
        <v>1687161.67</v>
      </c>
      <c r="V30" s="57"/>
      <c r="W30" s="54">
        <f t="shared" si="2"/>
        <v>369656609.67</v>
      </c>
    </row>
    <row r="31" spans="1:23" s="42" customFormat="1" ht="120">
      <c r="A31" s="48"/>
      <c r="B31" s="9"/>
      <c r="C31" s="17"/>
      <c r="D31" s="16"/>
      <c r="E31" s="16"/>
      <c r="F31" s="88" t="s">
        <v>457</v>
      </c>
      <c r="G31" s="54">
        <f>G37</f>
        <v>101607</v>
      </c>
      <c r="H31" s="56">
        <f>H37</f>
        <v>101607</v>
      </c>
      <c r="I31" s="56"/>
      <c r="J31" s="56"/>
      <c r="K31" s="56"/>
      <c r="L31" s="55"/>
      <c r="M31" s="55"/>
      <c r="N31" s="54"/>
      <c r="O31" s="55"/>
      <c r="P31" s="55"/>
      <c r="Q31" s="55"/>
      <c r="R31" s="55"/>
      <c r="S31" s="55"/>
      <c r="T31" s="55"/>
      <c r="U31" s="55"/>
      <c r="V31" s="55"/>
      <c r="W31" s="54">
        <f t="shared" si="2"/>
        <v>101607</v>
      </c>
    </row>
    <row r="32" spans="1:23" s="42" customFormat="1" ht="120">
      <c r="A32" s="48"/>
      <c r="B32" s="9"/>
      <c r="C32" s="17"/>
      <c r="D32" s="16"/>
      <c r="E32" s="16"/>
      <c r="F32" s="88" t="s">
        <v>458</v>
      </c>
      <c r="G32" s="54">
        <f>G38+G35</f>
        <v>306541</v>
      </c>
      <c r="H32" s="56">
        <f>H35+H38</f>
        <v>306541</v>
      </c>
      <c r="I32" s="56"/>
      <c r="J32" s="56"/>
      <c r="K32" s="56">
        <f>K35+K38</f>
        <v>306541</v>
      </c>
      <c r="L32" s="55"/>
      <c r="M32" s="55"/>
      <c r="N32" s="54"/>
      <c r="O32" s="55"/>
      <c r="P32" s="55"/>
      <c r="Q32" s="55"/>
      <c r="R32" s="55"/>
      <c r="S32" s="55"/>
      <c r="T32" s="55"/>
      <c r="U32" s="55"/>
      <c r="V32" s="55"/>
      <c r="W32" s="54">
        <f t="shared" si="2"/>
        <v>306541</v>
      </c>
    </row>
    <row r="33" spans="1:23" s="42" customFormat="1" ht="30">
      <c r="A33" s="48"/>
      <c r="B33" s="9"/>
      <c r="C33" s="17"/>
      <c r="D33" s="16"/>
      <c r="E33" s="16"/>
      <c r="F33" s="88" t="s">
        <v>459</v>
      </c>
      <c r="G33" s="54">
        <f aca="true" t="shared" si="7" ref="G33:L33">G39+G41</f>
        <v>173936400</v>
      </c>
      <c r="H33" s="59">
        <f t="shared" si="7"/>
        <v>173936400</v>
      </c>
      <c r="I33" s="59">
        <f t="shared" si="7"/>
        <v>137769900</v>
      </c>
      <c r="J33" s="59">
        <f t="shared" si="7"/>
        <v>33100</v>
      </c>
      <c r="K33" s="59">
        <f t="shared" si="7"/>
        <v>8493100</v>
      </c>
      <c r="L33" s="59">
        <f t="shared" si="7"/>
        <v>26727100</v>
      </c>
      <c r="M33" s="55"/>
      <c r="N33" s="54"/>
      <c r="O33" s="55"/>
      <c r="P33" s="55"/>
      <c r="Q33" s="55"/>
      <c r="R33" s="55"/>
      <c r="S33" s="55"/>
      <c r="T33" s="55"/>
      <c r="U33" s="55"/>
      <c r="V33" s="55"/>
      <c r="W33" s="54">
        <f t="shared" si="2"/>
        <v>173936400</v>
      </c>
    </row>
    <row r="34" spans="1:23" s="42" customFormat="1" ht="15">
      <c r="A34" s="48"/>
      <c r="B34" s="9"/>
      <c r="C34" s="17" t="s">
        <v>114</v>
      </c>
      <c r="D34" s="17" t="s">
        <v>521</v>
      </c>
      <c r="E34" s="17" t="s">
        <v>27</v>
      </c>
      <c r="F34" s="20" t="s">
        <v>171</v>
      </c>
      <c r="G34" s="54">
        <f aca="true" t="shared" si="8" ref="G34:G41">H34+M34</f>
        <v>133660327</v>
      </c>
      <c r="H34" s="119">
        <f>126790627+3300000+3569700</f>
        <v>133660327</v>
      </c>
      <c r="I34" s="119">
        <f>85681400+2300000+3569700</f>
        <v>91551100</v>
      </c>
      <c r="J34" s="119">
        <v>12100</v>
      </c>
      <c r="K34" s="119">
        <f>11886300+1000000</f>
        <v>12886300</v>
      </c>
      <c r="L34" s="56">
        <v>28348027</v>
      </c>
      <c r="M34" s="56"/>
      <c r="N34" s="54">
        <f>O34+T34</f>
        <v>19378408.52</v>
      </c>
      <c r="O34" s="56">
        <f>18364500-343700</f>
        <v>18020800</v>
      </c>
      <c r="P34" s="56"/>
      <c r="Q34" s="56">
        <v>1000</v>
      </c>
      <c r="R34" s="56">
        <v>14820000</v>
      </c>
      <c r="S34" s="56">
        <v>348500</v>
      </c>
      <c r="T34" s="56">
        <f>1013908.52+343700</f>
        <v>1357608.52</v>
      </c>
      <c r="U34" s="56">
        <v>1013908.52</v>
      </c>
      <c r="V34" s="56"/>
      <c r="W34" s="54">
        <f aca="true" t="shared" si="9" ref="W34:W39">G34+N34</f>
        <v>153038735.52</v>
      </c>
    </row>
    <row r="35" spans="1:23" s="42" customFormat="1" ht="123" customHeight="1">
      <c r="A35" s="48"/>
      <c r="B35" s="9"/>
      <c r="C35" s="17"/>
      <c r="D35" s="17"/>
      <c r="E35" s="17"/>
      <c r="F35" s="20" t="s">
        <v>456</v>
      </c>
      <c r="G35" s="54">
        <f t="shared" si="8"/>
        <v>154000</v>
      </c>
      <c r="H35" s="56">
        <v>154000</v>
      </c>
      <c r="I35" s="56"/>
      <c r="J35" s="56"/>
      <c r="K35" s="56">
        <v>154000</v>
      </c>
      <c r="L35" s="56"/>
      <c r="M35" s="56"/>
      <c r="N35" s="54"/>
      <c r="O35" s="56"/>
      <c r="P35" s="56"/>
      <c r="Q35" s="56"/>
      <c r="R35" s="56"/>
      <c r="S35" s="56"/>
      <c r="T35" s="56"/>
      <c r="U35" s="56"/>
      <c r="V35" s="56"/>
      <c r="W35" s="54">
        <f t="shared" si="9"/>
        <v>154000</v>
      </c>
    </row>
    <row r="36" spans="1:23" s="42" customFormat="1" ht="15">
      <c r="A36" s="48"/>
      <c r="B36" s="9"/>
      <c r="C36" s="11">
        <v>1011020</v>
      </c>
      <c r="D36" s="17" t="s">
        <v>522</v>
      </c>
      <c r="E36" s="17" t="s">
        <v>28</v>
      </c>
      <c r="F36" s="20" t="s">
        <v>172</v>
      </c>
      <c r="G36" s="54">
        <f t="shared" si="8"/>
        <v>182616200</v>
      </c>
      <c r="H36" s="119">
        <f>175341500+50000+7605500-380800</f>
        <v>182616200</v>
      </c>
      <c r="I36" s="119">
        <f>136785700+7605500-380800</f>
        <v>144010400</v>
      </c>
      <c r="J36" s="56">
        <v>33100</v>
      </c>
      <c r="K36" s="56">
        <f>8491100+152541+200600</f>
        <v>8844241</v>
      </c>
      <c r="L36" s="56">
        <v>28684319.65</v>
      </c>
      <c r="M36" s="56"/>
      <c r="N36" s="54">
        <f>O36+T36</f>
        <v>13101853.15</v>
      </c>
      <c r="O36" s="56">
        <f>12428600-995100</f>
        <v>11433500</v>
      </c>
      <c r="P36" s="56">
        <v>7874800</v>
      </c>
      <c r="Q36" s="56">
        <v>3100</v>
      </c>
      <c r="R36" s="56">
        <v>182500</v>
      </c>
      <c r="S36" s="56">
        <v>809800</v>
      </c>
      <c r="T36" s="56">
        <f>673253.15+995100</f>
        <v>1668353.15</v>
      </c>
      <c r="U36" s="56">
        <v>673253.15</v>
      </c>
      <c r="V36" s="56"/>
      <c r="W36" s="54">
        <f t="shared" si="9"/>
        <v>195718053.15</v>
      </c>
    </row>
    <row r="37" spans="1:23" s="42" customFormat="1" ht="120">
      <c r="A37" s="48"/>
      <c r="B37" s="9"/>
      <c r="C37" s="11"/>
      <c r="D37" s="17"/>
      <c r="E37" s="17"/>
      <c r="F37" s="20" t="s">
        <v>457</v>
      </c>
      <c r="G37" s="54">
        <f t="shared" si="8"/>
        <v>101607</v>
      </c>
      <c r="H37" s="56">
        <v>101607</v>
      </c>
      <c r="I37" s="56"/>
      <c r="J37" s="56"/>
      <c r="K37" s="56"/>
      <c r="L37" s="56"/>
      <c r="M37" s="56"/>
      <c r="N37" s="54"/>
      <c r="O37" s="56"/>
      <c r="P37" s="56"/>
      <c r="Q37" s="56"/>
      <c r="R37" s="56"/>
      <c r="S37" s="56"/>
      <c r="T37" s="56"/>
      <c r="U37" s="56"/>
      <c r="V37" s="56"/>
      <c r="W37" s="54">
        <f t="shared" si="9"/>
        <v>101607</v>
      </c>
    </row>
    <row r="38" spans="1:23" s="42" customFormat="1" ht="120">
      <c r="A38" s="48"/>
      <c r="B38" s="9"/>
      <c r="C38" s="11"/>
      <c r="D38" s="17"/>
      <c r="E38" s="17"/>
      <c r="F38" s="20" t="s">
        <v>458</v>
      </c>
      <c r="G38" s="54">
        <f t="shared" si="8"/>
        <v>152541</v>
      </c>
      <c r="H38" s="56">
        <v>152541</v>
      </c>
      <c r="I38" s="56"/>
      <c r="J38" s="56"/>
      <c r="K38" s="56">
        <v>152541</v>
      </c>
      <c r="L38" s="56"/>
      <c r="M38" s="56"/>
      <c r="N38" s="54"/>
      <c r="O38" s="56"/>
      <c r="P38" s="56"/>
      <c r="Q38" s="56"/>
      <c r="R38" s="56"/>
      <c r="S38" s="56"/>
      <c r="T38" s="56"/>
      <c r="U38" s="56"/>
      <c r="V38" s="56"/>
      <c r="W38" s="54">
        <f t="shared" si="9"/>
        <v>152541</v>
      </c>
    </row>
    <row r="39" spans="1:23" s="42" customFormat="1" ht="30">
      <c r="A39" s="48"/>
      <c r="B39" s="9"/>
      <c r="C39" s="11"/>
      <c r="D39" s="17"/>
      <c r="E39" s="17"/>
      <c r="F39" s="20" t="s">
        <v>459</v>
      </c>
      <c r="G39" s="54">
        <f t="shared" si="8"/>
        <v>172700500</v>
      </c>
      <c r="H39" s="56">
        <v>172700500</v>
      </c>
      <c r="I39" s="56">
        <v>136785700</v>
      </c>
      <c r="J39" s="56">
        <v>33100</v>
      </c>
      <c r="K39" s="56">
        <v>8491100</v>
      </c>
      <c r="L39" s="56">
        <v>26498100</v>
      </c>
      <c r="M39" s="56"/>
      <c r="N39" s="54"/>
      <c r="O39" s="56"/>
      <c r="P39" s="56"/>
      <c r="Q39" s="56"/>
      <c r="R39" s="56"/>
      <c r="S39" s="56"/>
      <c r="T39" s="56"/>
      <c r="U39" s="56"/>
      <c r="V39" s="56"/>
      <c r="W39" s="54">
        <f t="shared" si="9"/>
        <v>172700500</v>
      </c>
    </row>
    <row r="40" spans="1:23" s="42" customFormat="1" ht="28.5" customHeight="1">
      <c r="A40" s="48"/>
      <c r="B40" s="9"/>
      <c r="C40" s="11">
        <v>1011030</v>
      </c>
      <c r="D40" s="17" t="s">
        <v>523</v>
      </c>
      <c r="E40" s="17" t="s">
        <v>29</v>
      </c>
      <c r="F40" s="20" t="s">
        <v>173</v>
      </c>
      <c r="G40" s="54">
        <f t="shared" si="8"/>
        <v>1616700</v>
      </c>
      <c r="H40" s="119">
        <f>1235900+380800</f>
        <v>1616700</v>
      </c>
      <c r="I40" s="119">
        <f>984200+380800</f>
        <v>1365000</v>
      </c>
      <c r="J40" s="56"/>
      <c r="K40" s="56">
        <v>2000</v>
      </c>
      <c r="L40" s="56">
        <v>229000</v>
      </c>
      <c r="M40" s="56"/>
      <c r="N40" s="54">
        <f>O40+T40</f>
        <v>40500</v>
      </c>
      <c r="O40" s="56">
        <f>40500-2600</f>
        <v>37900</v>
      </c>
      <c r="P40" s="56"/>
      <c r="Q40" s="56"/>
      <c r="R40" s="56"/>
      <c r="S40" s="56">
        <v>19000</v>
      </c>
      <c r="T40" s="56">
        <v>2600</v>
      </c>
      <c r="U40" s="56"/>
      <c r="V40" s="56"/>
      <c r="W40" s="54">
        <f aca="true" t="shared" si="10" ref="W40:W74">G40+N40</f>
        <v>1657200</v>
      </c>
    </row>
    <row r="41" spans="1:23" s="42" customFormat="1" ht="30">
      <c r="A41" s="48"/>
      <c r="B41" s="9"/>
      <c r="C41" s="11"/>
      <c r="D41" s="17"/>
      <c r="E41" s="17"/>
      <c r="F41" s="20" t="s">
        <v>460</v>
      </c>
      <c r="G41" s="54">
        <f t="shared" si="8"/>
        <v>1235900</v>
      </c>
      <c r="H41" s="56">
        <v>1235900</v>
      </c>
      <c r="I41" s="56">
        <v>984200</v>
      </c>
      <c r="J41" s="56"/>
      <c r="K41" s="56">
        <v>2000</v>
      </c>
      <c r="L41" s="56">
        <v>229000</v>
      </c>
      <c r="M41" s="56"/>
      <c r="N41" s="54"/>
      <c r="O41" s="56"/>
      <c r="P41" s="56"/>
      <c r="Q41" s="56"/>
      <c r="R41" s="56"/>
      <c r="S41" s="56"/>
      <c r="T41" s="56"/>
      <c r="U41" s="56"/>
      <c r="V41" s="56"/>
      <c r="W41" s="54">
        <f t="shared" si="10"/>
        <v>1235900</v>
      </c>
    </row>
    <row r="42" spans="1:23" s="42" customFormat="1" ht="30" hidden="1">
      <c r="A42" s="48"/>
      <c r="B42" s="9"/>
      <c r="C42" s="11"/>
      <c r="D42" s="17" t="s">
        <v>509</v>
      </c>
      <c r="E42" s="17" t="s">
        <v>27</v>
      </c>
      <c r="F42" s="20" t="s">
        <v>270</v>
      </c>
      <c r="G42" s="54">
        <f aca="true" t="shared" si="11" ref="G42:G50">H42+M42</f>
        <v>0</v>
      </c>
      <c r="H42" s="56"/>
      <c r="I42" s="56"/>
      <c r="J42" s="56"/>
      <c r="K42" s="56"/>
      <c r="L42" s="56"/>
      <c r="M42" s="56"/>
      <c r="N42" s="54">
        <f aca="true" t="shared" si="12" ref="N42:N49">O42+T42</f>
        <v>0</v>
      </c>
      <c r="O42" s="56"/>
      <c r="P42" s="56"/>
      <c r="Q42" s="56"/>
      <c r="R42" s="56"/>
      <c r="S42" s="56"/>
      <c r="T42" s="56"/>
      <c r="U42" s="56"/>
      <c r="V42" s="56"/>
      <c r="W42" s="54">
        <f t="shared" si="10"/>
        <v>0</v>
      </c>
    </row>
    <row r="43" spans="1:23" s="42" customFormat="1" ht="60" hidden="1">
      <c r="A43" s="48"/>
      <c r="B43" s="9"/>
      <c r="C43" s="11"/>
      <c r="D43" s="17" t="s">
        <v>524</v>
      </c>
      <c r="E43" s="17" t="s">
        <v>271</v>
      </c>
      <c r="F43" s="20" t="s">
        <v>272</v>
      </c>
      <c r="G43" s="54">
        <f t="shared" si="11"/>
        <v>0</v>
      </c>
      <c r="H43" s="56"/>
      <c r="I43" s="56"/>
      <c r="J43" s="56"/>
      <c r="K43" s="56"/>
      <c r="L43" s="56"/>
      <c r="M43" s="56"/>
      <c r="N43" s="54">
        <f t="shared" si="12"/>
        <v>0</v>
      </c>
      <c r="O43" s="56"/>
      <c r="P43" s="56"/>
      <c r="Q43" s="56"/>
      <c r="R43" s="56"/>
      <c r="S43" s="56"/>
      <c r="T43" s="56"/>
      <c r="U43" s="56"/>
      <c r="V43" s="56"/>
      <c r="W43" s="54">
        <f t="shared" si="10"/>
        <v>0</v>
      </c>
    </row>
    <row r="44" spans="1:23" s="42" customFormat="1" ht="46.5" customHeight="1">
      <c r="A44" s="48"/>
      <c r="B44" s="9"/>
      <c r="C44" s="11">
        <v>1011100</v>
      </c>
      <c r="D44" s="17" t="s">
        <v>525</v>
      </c>
      <c r="E44" s="17" t="s">
        <v>273</v>
      </c>
      <c r="F44" s="20" t="s">
        <v>174</v>
      </c>
      <c r="G44" s="54">
        <f t="shared" si="11"/>
        <v>10732200</v>
      </c>
      <c r="H44" s="119">
        <f>10595200+137000</f>
        <v>10732200</v>
      </c>
      <c r="I44" s="56">
        <v>9202700</v>
      </c>
      <c r="J44" s="56"/>
      <c r="K44" s="56"/>
      <c r="L44" s="56">
        <v>1230300</v>
      </c>
      <c r="M44" s="56"/>
      <c r="N44" s="54">
        <f t="shared" si="12"/>
        <v>510200</v>
      </c>
      <c r="O44" s="56">
        <f>510200-62600</f>
        <v>447600</v>
      </c>
      <c r="P44" s="56">
        <v>150200</v>
      </c>
      <c r="Q44" s="56"/>
      <c r="R44" s="56"/>
      <c r="S44" s="56">
        <v>98800</v>
      </c>
      <c r="T44" s="56">
        <v>62600</v>
      </c>
      <c r="U44" s="56"/>
      <c r="V44" s="56"/>
      <c r="W44" s="54">
        <f t="shared" si="10"/>
        <v>11242400</v>
      </c>
    </row>
    <row r="45" spans="1:23" s="42" customFormat="1" ht="30">
      <c r="A45" s="48"/>
      <c r="B45" s="9"/>
      <c r="C45" s="11">
        <v>1011160</v>
      </c>
      <c r="D45" s="17" t="s">
        <v>526</v>
      </c>
      <c r="E45" s="17" t="s">
        <v>274</v>
      </c>
      <c r="F45" s="20" t="s">
        <v>175</v>
      </c>
      <c r="G45" s="54">
        <f t="shared" si="11"/>
        <v>71200</v>
      </c>
      <c r="H45" s="56">
        <v>71200</v>
      </c>
      <c r="I45" s="56"/>
      <c r="J45" s="56"/>
      <c r="K45" s="56"/>
      <c r="L45" s="56"/>
      <c r="M45" s="56"/>
      <c r="N45" s="54"/>
      <c r="O45" s="56"/>
      <c r="P45" s="56"/>
      <c r="Q45" s="56"/>
      <c r="R45" s="56"/>
      <c r="S45" s="56"/>
      <c r="T45" s="56"/>
      <c r="U45" s="56"/>
      <c r="V45" s="56"/>
      <c r="W45" s="54">
        <f t="shared" si="10"/>
        <v>71200</v>
      </c>
    </row>
    <row r="46" spans="1:23" s="42" customFormat="1" ht="45">
      <c r="A46" s="48"/>
      <c r="B46" s="9"/>
      <c r="C46" s="11">
        <v>1011170</v>
      </c>
      <c r="D46" s="17" t="s">
        <v>527</v>
      </c>
      <c r="E46" s="17" t="s">
        <v>275</v>
      </c>
      <c r="F46" s="20" t="s">
        <v>176</v>
      </c>
      <c r="G46" s="54">
        <f t="shared" si="11"/>
        <v>2077400</v>
      </c>
      <c r="H46" s="56">
        <v>2077400</v>
      </c>
      <c r="I46" s="56">
        <v>1490700</v>
      </c>
      <c r="J46" s="56"/>
      <c r="K46" s="56">
        <v>72100</v>
      </c>
      <c r="L46" s="56"/>
      <c r="M46" s="56"/>
      <c r="N46" s="54">
        <f t="shared" si="12"/>
        <v>30000</v>
      </c>
      <c r="O46" s="56">
        <v>30000</v>
      </c>
      <c r="P46" s="56"/>
      <c r="Q46" s="56"/>
      <c r="R46" s="56"/>
      <c r="S46" s="56"/>
      <c r="T46" s="56"/>
      <c r="U46" s="56"/>
      <c r="V46" s="56"/>
      <c r="W46" s="54">
        <f t="shared" si="10"/>
        <v>2107400</v>
      </c>
    </row>
    <row r="47" spans="1:23" s="42" customFormat="1" ht="30" customHeight="1">
      <c r="A47" s="48"/>
      <c r="B47" s="9"/>
      <c r="C47" s="11">
        <v>1011190</v>
      </c>
      <c r="D47" s="17" t="s">
        <v>528</v>
      </c>
      <c r="E47" s="17" t="s">
        <v>275</v>
      </c>
      <c r="F47" s="20" t="s">
        <v>177</v>
      </c>
      <c r="G47" s="54">
        <f t="shared" si="11"/>
        <v>3358700</v>
      </c>
      <c r="H47" s="56">
        <v>3358700</v>
      </c>
      <c r="I47" s="56">
        <v>3140100</v>
      </c>
      <c r="J47" s="56"/>
      <c r="K47" s="56"/>
      <c r="L47" s="56"/>
      <c r="M47" s="56"/>
      <c r="N47" s="54"/>
      <c r="O47" s="56"/>
      <c r="P47" s="56"/>
      <c r="Q47" s="56"/>
      <c r="R47" s="56"/>
      <c r="S47" s="56"/>
      <c r="T47" s="56"/>
      <c r="U47" s="56"/>
      <c r="V47" s="56"/>
      <c r="W47" s="54">
        <f t="shared" si="10"/>
        <v>3358700</v>
      </c>
    </row>
    <row r="48" spans="1:23" s="42" customFormat="1" ht="30">
      <c r="A48" s="48"/>
      <c r="B48" s="9"/>
      <c r="C48" s="11">
        <v>1011200</v>
      </c>
      <c r="D48" s="17" t="s">
        <v>529</v>
      </c>
      <c r="E48" s="17" t="s">
        <v>276</v>
      </c>
      <c r="F48" s="20" t="s">
        <v>178</v>
      </c>
      <c r="G48" s="54">
        <f t="shared" si="11"/>
        <v>2068347</v>
      </c>
      <c r="H48" s="56">
        <v>2068347</v>
      </c>
      <c r="I48" s="56">
        <v>1114300</v>
      </c>
      <c r="J48" s="56"/>
      <c r="K48" s="56"/>
      <c r="L48" s="56">
        <v>745747</v>
      </c>
      <c r="M48" s="56"/>
      <c r="N48" s="54">
        <f t="shared" si="12"/>
        <v>36700</v>
      </c>
      <c r="O48" s="56">
        <v>36700</v>
      </c>
      <c r="P48" s="56"/>
      <c r="Q48" s="56"/>
      <c r="R48" s="56"/>
      <c r="S48" s="56">
        <v>35700</v>
      </c>
      <c r="T48" s="56"/>
      <c r="U48" s="56"/>
      <c r="V48" s="56"/>
      <c r="W48" s="54">
        <f t="shared" si="10"/>
        <v>2105047</v>
      </c>
    </row>
    <row r="49" spans="1:23" s="42" customFormat="1" ht="15">
      <c r="A49" s="48"/>
      <c r="B49" s="9"/>
      <c r="C49" s="11">
        <v>1011210</v>
      </c>
      <c r="D49" s="17" t="s">
        <v>530</v>
      </c>
      <c r="E49" s="17" t="s">
        <v>276</v>
      </c>
      <c r="F49" s="20" t="s">
        <v>179</v>
      </c>
      <c r="G49" s="54">
        <f t="shared" si="11"/>
        <v>266774</v>
      </c>
      <c r="H49" s="56">
        <v>266774</v>
      </c>
      <c r="I49" s="56">
        <v>90400</v>
      </c>
      <c r="J49" s="56"/>
      <c r="K49" s="56"/>
      <c r="L49" s="56">
        <v>167274</v>
      </c>
      <c r="M49" s="56"/>
      <c r="N49" s="54">
        <f t="shared" si="12"/>
        <v>6000</v>
      </c>
      <c r="O49" s="56">
        <v>6000</v>
      </c>
      <c r="P49" s="56"/>
      <c r="Q49" s="56"/>
      <c r="R49" s="56"/>
      <c r="S49" s="56"/>
      <c r="T49" s="56"/>
      <c r="U49" s="56"/>
      <c r="V49" s="56"/>
      <c r="W49" s="54">
        <f t="shared" si="10"/>
        <v>272774</v>
      </c>
    </row>
    <row r="50" spans="1:23" s="42" customFormat="1" ht="64.5" customHeight="1">
      <c r="A50" s="48"/>
      <c r="B50" s="9"/>
      <c r="C50" s="11">
        <v>1011260</v>
      </c>
      <c r="D50" s="17" t="s">
        <v>531</v>
      </c>
      <c r="E50" s="17" t="s">
        <v>276</v>
      </c>
      <c r="F50" s="20" t="s">
        <v>180</v>
      </c>
      <c r="G50" s="54">
        <f t="shared" si="11"/>
        <v>85100</v>
      </c>
      <c r="H50" s="56">
        <v>85100</v>
      </c>
      <c r="I50" s="56"/>
      <c r="J50" s="56"/>
      <c r="K50" s="56"/>
      <c r="L50" s="56"/>
      <c r="M50" s="56"/>
      <c r="N50" s="54"/>
      <c r="O50" s="56"/>
      <c r="P50" s="56"/>
      <c r="Q50" s="56"/>
      <c r="R50" s="56"/>
      <c r="S50" s="56"/>
      <c r="T50" s="56"/>
      <c r="U50" s="56"/>
      <c r="V50" s="56"/>
      <c r="W50" s="54">
        <f t="shared" si="10"/>
        <v>85100</v>
      </c>
    </row>
    <row r="51" spans="1:23" s="42" customFormat="1" ht="30" customHeight="1">
      <c r="A51" s="48"/>
      <c r="B51" s="9"/>
      <c r="C51" s="9">
        <v>1013130</v>
      </c>
      <c r="D51" s="16" t="s">
        <v>510</v>
      </c>
      <c r="E51" s="16"/>
      <c r="F51" s="10" t="s">
        <v>511</v>
      </c>
      <c r="G51" s="54">
        <f aca="true" t="shared" si="13" ref="G51:S51">SUM(G52:G56)</f>
        <v>3033300</v>
      </c>
      <c r="H51" s="55">
        <f t="shared" si="13"/>
        <v>3033300</v>
      </c>
      <c r="I51" s="55">
        <f t="shared" si="13"/>
        <v>1426100</v>
      </c>
      <c r="J51" s="55"/>
      <c r="K51" s="55"/>
      <c r="L51" s="55">
        <f t="shared" si="13"/>
        <v>420800</v>
      </c>
      <c r="M51" s="55"/>
      <c r="N51" s="54">
        <f t="shared" si="13"/>
        <v>45460</v>
      </c>
      <c r="O51" s="55">
        <f t="shared" si="13"/>
        <v>45460</v>
      </c>
      <c r="P51" s="55"/>
      <c r="Q51" s="55"/>
      <c r="R51" s="55"/>
      <c r="S51" s="55">
        <f t="shared" si="13"/>
        <v>13441</v>
      </c>
      <c r="T51" s="55"/>
      <c r="U51" s="55"/>
      <c r="V51" s="55"/>
      <c r="W51" s="54">
        <f t="shared" si="10"/>
        <v>3078760</v>
      </c>
    </row>
    <row r="52" spans="1:23" s="42" customFormat="1" ht="30">
      <c r="A52" s="48"/>
      <c r="B52" s="9"/>
      <c r="C52" s="11">
        <v>1013131</v>
      </c>
      <c r="D52" s="17" t="s">
        <v>277</v>
      </c>
      <c r="E52" s="17" t="s">
        <v>278</v>
      </c>
      <c r="F52" s="20" t="s">
        <v>181</v>
      </c>
      <c r="G52" s="54">
        <f>H52+M52</f>
        <v>711990</v>
      </c>
      <c r="H52" s="56">
        <v>711990</v>
      </c>
      <c r="I52" s="56">
        <v>658010</v>
      </c>
      <c r="J52" s="56"/>
      <c r="K52" s="56"/>
      <c r="L52" s="56">
        <v>40000</v>
      </c>
      <c r="M52" s="56"/>
      <c r="N52" s="54"/>
      <c r="O52" s="56"/>
      <c r="P52" s="56"/>
      <c r="Q52" s="56"/>
      <c r="R52" s="56"/>
      <c r="S52" s="56"/>
      <c r="T52" s="56"/>
      <c r="U52" s="56"/>
      <c r="V52" s="56"/>
      <c r="W52" s="54">
        <f t="shared" si="10"/>
        <v>711990</v>
      </c>
    </row>
    <row r="53" spans="1:23" s="42" customFormat="1" ht="30">
      <c r="A53" s="48"/>
      <c r="B53" s="9"/>
      <c r="C53" s="11">
        <v>1013132</v>
      </c>
      <c r="D53" s="17" t="s">
        <v>279</v>
      </c>
      <c r="E53" s="17" t="s">
        <v>278</v>
      </c>
      <c r="F53" s="20" t="s">
        <v>182</v>
      </c>
      <c r="G53" s="54">
        <f>H53+M53</f>
        <v>20616</v>
      </c>
      <c r="H53" s="56">
        <v>20616</v>
      </c>
      <c r="I53" s="56"/>
      <c r="J53" s="56"/>
      <c r="K53" s="56"/>
      <c r="L53" s="56"/>
      <c r="M53" s="56"/>
      <c r="N53" s="54"/>
      <c r="O53" s="56"/>
      <c r="P53" s="56"/>
      <c r="Q53" s="56"/>
      <c r="R53" s="56"/>
      <c r="S53" s="56"/>
      <c r="T53" s="56"/>
      <c r="U53" s="56"/>
      <c r="V53" s="56"/>
      <c r="W53" s="54">
        <f t="shared" si="10"/>
        <v>20616</v>
      </c>
    </row>
    <row r="54" spans="1:23" s="42" customFormat="1" ht="30">
      <c r="A54" s="48"/>
      <c r="B54" s="9"/>
      <c r="C54" s="11">
        <v>1013140</v>
      </c>
      <c r="D54" s="17" t="s">
        <v>280</v>
      </c>
      <c r="E54" s="17" t="s">
        <v>278</v>
      </c>
      <c r="F54" s="20" t="s">
        <v>183</v>
      </c>
      <c r="G54" s="54">
        <f>H54+M54</f>
        <v>86741</v>
      </c>
      <c r="H54" s="56">
        <v>86741</v>
      </c>
      <c r="I54" s="56"/>
      <c r="J54" s="56"/>
      <c r="K54" s="56"/>
      <c r="L54" s="56"/>
      <c r="M54" s="56"/>
      <c r="N54" s="54"/>
      <c r="O54" s="56"/>
      <c r="P54" s="56"/>
      <c r="Q54" s="56"/>
      <c r="R54" s="56"/>
      <c r="S54" s="56"/>
      <c r="T54" s="56"/>
      <c r="U54" s="56"/>
      <c r="V54" s="56"/>
      <c r="W54" s="54">
        <f t="shared" si="10"/>
        <v>86741</v>
      </c>
    </row>
    <row r="55" spans="1:23" s="42" customFormat="1" ht="90">
      <c r="A55" s="48"/>
      <c r="B55" s="9"/>
      <c r="C55" s="11">
        <v>1013160</v>
      </c>
      <c r="D55" s="17" t="s">
        <v>282</v>
      </c>
      <c r="E55" s="17" t="s">
        <v>278</v>
      </c>
      <c r="F55" s="20" t="s">
        <v>184</v>
      </c>
      <c r="G55" s="54">
        <f>H55+M55</f>
        <v>1028820</v>
      </c>
      <c r="H55" s="56">
        <v>1028820</v>
      </c>
      <c r="I55" s="56"/>
      <c r="J55" s="56"/>
      <c r="K55" s="56"/>
      <c r="L55" s="56"/>
      <c r="M55" s="56"/>
      <c r="N55" s="54"/>
      <c r="O55" s="56"/>
      <c r="P55" s="56"/>
      <c r="Q55" s="56"/>
      <c r="R55" s="56"/>
      <c r="S55" s="56"/>
      <c r="T55" s="56"/>
      <c r="U55" s="56"/>
      <c r="V55" s="56"/>
      <c r="W55" s="54">
        <f t="shared" si="10"/>
        <v>1028820</v>
      </c>
    </row>
    <row r="56" spans="1:23" s="42" customFormat="1" ht="15">
      <c r="A56" s="48"/>
      <c r="B56" s="9"/>
      <c r="C56" s="11">
        <v>1013500</v>
      </c>
      <c r="D56" s="17" t="s">
        <v>281</v>
      </c>
      <c r="E56" s="17" t="s">
        <v>278</v>
      </c>
      <c r="F56" s="20" t="s">
        <v>1</v>
      </c>
      <c r="G56" s="54">
        <f>H56+M56</f>
        <v>1185133</v>
      </c>
      <c r="H56" s="56">
        <v>1185133</v>
      </c>
      <c r="I56" s="56">
        <v>768090</v>
      </c>
      <c r="J56" s="56"/>
      <c r="K56" s="56"/>
      <c r="L56" s="56">
        <v>380800</v>
      </c>
      <c r="M56" s="56"/>
      <c r="N56" s="54">
        <f>O56+T56</f>
        <v>45460</v>
      </c>
      <c r="O56" s="56">
        <v>45460</v>
      </c>
      <c r="P56" s="56"/>
      <c r="Q56" s="56"/>
      <c r="R56" s="56"/>
      <c r="S56" s="56">
        <v>13441</v>
      </c>
      <c r="T56" s="56"/>
      <c r="U56" s="56"/>
      <c r="V56" s="56"/>
      <c r="W56" s="54">
        <f t="shared" si="10"/>
        <v>1230593</v>
      </c>
    </row>
    <row r="57" spans="1:23" s="42" customFormat="1" ht="21.75" customHeight="1">
      <c r="A57" s="48"/>
      <c r="B57" s="9"/>
      <c r="C57" s="9">
        <v>1014000</v>
      </c>
      <c r="D57" s="16" t="s">
        <v>532</v>
      </c>
      <c r="E57" s="16"/>
      <c r="F57" s="10" t="s">
        <v>283</v>
      </c>
      <c r="G57" s="54">
        <f aca="true" t="shared" si="14" ref="G57:L57">SUM(G58:G61)</f>
        <v>41338158</v>
      </c>
      <c r="H57" s="55">
        <f t="shared" si="14"/>
        <v>41338158</v>
      </c>
      <c r="I57" s="55">
        <f t="shared" si="14"/>
        <v>29626400</v>
      </c>
      <c r="J57" s="55"/>
      <c r="K57" s="55"/>
      <c r="L57" s="55">
        <f t="shared" si="14"/>
        <v>2423458</v>
      </c>
      <c r="M57" s="55"/>
      <c r="N57" s="54">
        <f aca="true" t="shared" si="15" ref="N57:U57">SUM(N58:N61)</f>
        <v>2052681.3499999999</v>
      </c>
      <c r="O57" s="55">
        <f t="shared" si="15"/>
        <v>1810307</v>
      </c>
      <c r="P57" s="55">
        <f t="shared" si="15"/>
        <v>1578736</v>
      </c>
      <c r="Q57" s="55"/>
      <c r="R57" s="55"/>
      <c r="S57" s="55">
        <f t="shared" si="15"/>
        <v>52339</v>
      </c>
      <c r="T57" s="55">
        <f t="shared" si="15"/>
        <v>242374.35</v>
      </c>
      <c r="U57" s="55">
        <f t="shared" si="15"/>
        <v>239874.35</v>
      </c>
      <c r="V57" s="55"/>
      <c r="W57" s="54">
        <f t="shared" si="10"/>
        <v>43390839.35</v>
      </c>
    </row>
    <row r="58" spans="1:23" s="42" customFormat="1" ht="15">
      <c r="A58" s="48"/>
      <c r="B58" s="9"/>
      <c r="C58" s="11">
        <v>1014060</v>
      </c>
      <c r="D58" s="17" t="s">
        <v>284</v>
      </c>
      <c r="E58" s="17" t="s">
        <v>287</v>
      </c>
      <c r="F58" s="20" t="s">
        <v>533</v>
      </c>
      <c r="G58" s="54">
        <f>H58+M58</f>
        <v>5796771</v>
      </c>
      <c r="H58" s="56">
        <v>5796771</v>
      </c>
      <c r="I58" s="56">
        <v>4873200</v>
      </c>
      <c r="J58" s="56"/>
      <c r="K58" s="56"/>
      <c r="L58" s="56">
        <v>801831</v>
      </c>
      <c r="M58" s="55"/>
      <c r="N58" s="54">
        <f>O58+T58</f>
        <v>124950.26</v>
      </c>
      <c r="O58" s="56">
        <v>27434</v>
      </c>
      <c r="P58" s="56"/>
      <c r="Q58" s="56"/>
      <c r="R58" s="56"/>
      <c r="S58" s="56">
        <v>17473</v>
      </c>
      <c r="T58" s="56">
        <v>97516.26</v>
      </c>
      <c r="U58" s="56">
        <v>97516.26</v>
      </c>
      <c r="V58" s="55"/>
      <c r="W58" s="54">
        <f t="shared" si="10"/>
        <v>5921721.26</v>
      </c>
    </row>
    <row r="59" spans="1:23" s="42" customFormat="1" ht="30">
      <c r="A59" s="48"/>
      <c r="B59" s="9"/>
      <c r="C59" s="11">
        <v>1014090</v>
      </c>
      <c r="D59" s="17" t="s">
        <v>285</v>
      </c>
      <c r="E59" s="17" t="s">
        <v>288</v>
      </c>
      <c r="F59" s="20" t="s">
        <v>185</v>
      </c>
      <c r="G59" s="54">
        <f>H59+M59</f>
        <v>1597264</v>
      </c>
      <c r="H59" s="56">
        <v>1597264</v>
      </c>
      <c r="I59" s="56">
        <v>1135270</v>
      </c>
      <c r="J59" s="56"/>
      <c r="K59" s="56"/>
      <c r="L59" s="56">
        <v>377829</v>
      </c>
      <c r="M59" s="55"/>
      <c r="N59" s="54">
        <f>O59+T59</f>
        <v>27994</v>
      </c>
      <c r="O59" s="56">
        <v>27994</v>
      </c>
      <c r="P59" s="56"/>
      <c r="Q59" s="56"/>
      <c r="R59" s="56"/>
      <c r="S59" s="56">
        <v>20895</v>
      </c>
      <c r="T59" s="56"/>
      <c r="U59" s="55"/>
      <c r="V59" s="55"/>
      <c r="W59" s="54">
        <f t="shared" si="10"/>
        <v>1625258</v>
      </c>
    </row>
    <row r="60" spans="1:23" s="42" customFormat="1" ht="15">
      <c r="A60" s="48"/>
      <c r="B60" s="9"/>
      <c r="C60" s="11">
        <v>1014100</v>
      </c>
      <c r="D60" s="17" t="s">
        <v>286</v>
      </c>
      <c r="E60" s="17" t="s">
        <v>290</v>
      </c>
      <c r="F60" s="20" t="s">
        <v>289</v>
      </c>
      <c r="G60" s="54">
        <f>H60+M60</f>
        <v>24903924</v>
      </c>
      <c r="H60" s="56">
        <v>24903924</v>
      </c>
      <c r="I60" s="56">
        <v>23434530</v>
      </c>
      <c r="J60" s="56"/>
      <c r="K60" s="56"/>
      <c r="L60" s="56">
        <v>1226218</v>
      </c>
      <c r="M60" s="55"/>
      <c r="N60" s="54">
        <f>O60+T60</f>
        <v>1894737.1099999999</v>
      </c>
      <c r="O60" s="56">
        <v>1754879</v>
      </c>
      <c r="P60" s="56">
        <v>1578736</v>
      </c>
      <c r="Q60" s="56"/>
      <c r="R60" s="56"/>
      <c r="S60" s="56">
        <v>13971</v>
      </c>
      <c r="T60" s="56">
        <f>2500+137358.11</f>
        <v>139858.11</v>
      </c>
      <c r="U60" s="56">
        <v>137358.11</v>
      </c>
      <c r="V60" s="55"/>
      <c r="W60" s="54">
        <f t="shared" si="10"/>
        <v>26798661.11</v>
      </c>
    </row>
    <row r="61" spans="1:23" s="42" customFormat="1" ht="30">
      <c r="A61" s="48"/>
      <c r="B61" s="9"/>
      <c r="C61" s="11">
        <v>1014800</v>
      </c>
      <c r="D61" s="17" t="s">
        <v>513</v>
      </c>
      <c r="E61" s="17" t="s">
        <v>291</v>
      </c>
      <c r="F61" s="20" t="s">
        <v>292</v>
      </c>
      <c r="G61" s="54">
        <f>H61+M61</f>
        <v>9040199</v>
      </c>
      <c r="H61" s="119">
        <f>8549999+250000+240200</f>
        <v>9040199</v>
      </c>
      <c r="I61" s="56">
        <v>183400</v>
      </c>
      <c r="J61" s="56"/>
      <c r="K61" s="56"/>
      <c r="L61" s="56">
        <v>17580</v>
      </c>
      <c r="M61" s="55"/>
      <c r="N61" s="54">
        <f>O61+T61</f>
        <v>4999.98</v>
      </c>
      <c r="O61" s="55"/>
      <c r="P61" s="55"/>
      <c r="Q61" s="55"/>
      <c r="R61" s="55"/>
      <c r="S61" s="55"/>
      <c r="T61" s="56">
        <v>4999.98</v>
      </c>
      <c r="U61" s="56">
        <v>4999.98</v>
      </c>
      <c r="V61" s="55"/>
      <c r="W61" s="54">
        <f t="shared" si="10"/>
        <v>9045198.98</v>
      </c>
    </row>
    <row r="62" spans="1:23" s="42" customFormat="1" ht="14.25">
      <c r="A62" s="48"/>
      <c r="B62" s="9"/>
      <c r="C62" s="9">
        <v>1015000</v>
      </c>
      <c r="D62" s="16" t="s">
        <v>534</v>
      </c>
      <c r="E62" s="16"/>
      <c r="F62" s="10" t="s">
        <v>535</v>
      </c>
      <c r="G62" s="54">
        <f aca="true" t="shared" si="16" ref="G62:U62">SUM(G63:G66)</f>
        <v>13881000</v>
      </c>
      <c r="H62" s="55">
        <f t="shared" si="16"/>
        <v>13881000</v>
      </c>
      <c r="I62" s="55">
        <f t="shared" si="16"/>
        <v>8729100</v>
      </c>
      <c r="J62" s="55">
        <f t="shared" si="16"/>
        <v>10874</v>
      </c>
      <c r="K62" s="55">
        <f t="shared" si="16"/>
        <v>189741</v>
      </c>
      <c r="L62" s="55">
        <f t="shared" si="16"/>
        <v>709900</v>
      </c>
      <c r="M62" s="55"/>
      <c r="N62" s="54">
        <f t="shared" si="16"/>
        <v>337955.74</v>
      </c>
      <c r="O62" s="55">
        <f t="shared" si="16"/>
        <v>58232</v>
      </c>
      <c r="P62" s="55"/>
      <c r="Q62" s="55"/>
      <c r="R62" s="55"/>
      <c r="S62" s="55"/>
      <c r="T62" s="55">
        <f t="shared" si="16"/>
        <v>279723.74</v>
      </c>
      <c r="U62" s="55">
        <f t="shared" si="16"/>
        <v>279723.74</v>
      </c>
      <c r="V62" s="55"/>
      <c r="W62" s="54">
        <f t="shared" si="10"/>
        <v>14218955.74</v>
      </c>
    </row>
    <row r="63" spans="1:23" s="42" customFormat="1" ht="45">
      <c r="A63" s="48"/>
      <c r="B63" s="9"/>
      <c r="C63" s="11">
        <v>1015011</v>
      </c>
      <c r="D63" s="17" t="s">
        <v>293</v>
      </c>
      <c r="E63" s="17" t="s">
        <v>297</v>
      </c>
      <c r="F63" s="20" t="s">
        <v>186</v>
      </c>
      <c r="G63" s="54">
        <f>H63+M63</f>
        <v>320819</v>
      </c>
      <c r="H63" s="56">
        <v>320819</v>
      </c>
      <c r="I63" s="56"/>
      <c r="J63" s="56"/>
      <c r="K63" s="56"/>
      <c r="L63" s="56"/>
      <c r="M63" s="56"/>
      <c r="N63" s="54"/>
      <c r="O63" s="55"/>
      <c r="P63" s="55"/>
      <c r="Q63" s="55"/>
      <c r="R63" s="55"/>
      <c r="S63" s="55"/>
      <c r="T63" s="55"/>
      <c r="U63" s="55"/>
      <c r="V63" s="55"/>
      <c r="W63" s="54">
        <f t="shared" si="10"/>
        <v>320819</v>
      </c>
    </row>
    <row r="64" spans="1:23" s="42" customFormat="1" ht="45">
      <c r="A64" s="48"/>
      <c r="B64" s="9"/>
      <c r="C64" s="11">
        <v>1015022</v>
      </c>
      <c r="D64" s="17" t="s">
        <v>294</v>
      </c>
      <c r="E64" s="17" t="s">
        <v>297</v>
      </c>
      <c r="F64" s="20" t="s">
        <v>187</v>
      </c>
      <c r="G64" s="54">
        <f>H64+M64</f>
        <v>10992722</v>
      </c>
      <c r="H64" s="119">
        <f>10589422+337500+65800</f>
        <v>10992722</v>
      </c>
      <c r="I64" s="119">
        <f>7958600+337500</f>
        <v>8296100</v>
      </c>
      <c r="J64" s="119">
        <v>10874</v>
      </c>
      <c r="K64" s="119">
        <v>189741</v>
      </c>
      <c r="L64" s="119">
        <f>625509+65800</f>
        <v>691309</v>
      </c>
      <c r="M64" s="56"/>
      <c r="N64" s="54">
        <f>O64+T64</f>
        <v>303731.76</v>
      </c>
      <c r="O64" s="56">
        <v>46708</v>
      </c>
      <c r="P64" s="55"/>
      <c r="Q64" s="55"/>
      <c r="R64" s="55"/>
      <c r="S64" s="55"/>
      <c r="T64" s="56">
        <v>257023.76</v>
      </c>
      <c r="U64" s="56">
        <v>257023.76</v>
      </c>
      <c r="V64" s="55"/>
      <c r="W64" s="54">
        <f t="shared" si="10"/>
        <v>11296453.76</v>
      </c>
    </row>
    <row r="65" spans="1:23" s="42" customFormat="1" ht="30">
      <c r="A65" s="48"/>
      <c r="B65" s="9"/>
      <c r="C65" s="11">
        <v>1015024</v>
      </c>
      <c r="D65" s="17" t="s">
        <v>295</v>
      </c>
      <c r="E65" s="17" t="s">
        <v>297</v>
      </c>
      <c r="F65" s="20" t="s">
        <v>188</v>
      </c>
      <c r="G65" s="54">
        <f>H65+M65</f>
        <v>2104095</v>
      </c>
      <c r="H65" s="119">
        <v>2104095</v>
      </c>
      <c r="I65" s="119"/>
      <c r="J65" s="119"/>
      <c r="K65" s="119"/>
      <c r="L65" s="119"/>
      <c r="M65" s="56"/>
      <c r="N65" s="54">
        <f>O65+T65</f>
        <v>11524</v>
      </c>
      <c r="O65" s="56">
        <v>11524</v>
      </c>
      <c r="P65" s="55"/>
      <c r="Q65" s="55"/>
      <c r="R65" s="55"/>
      <c r="S65" s="55"/>
      <c r="T65" s="55"/>
      <c r="U65" s="55"/>
      <c r="V65" s="55"/>
      <c r="W65" s="54">
        <f t="shared" si="10"/>
        <v>2115619</v>
      </c>
    </row>
    <row r="66" spans="1:23" s="42" customFormat="1" ht="45">
      <c r="A66" s="48"/>
      <c r="B66" s="9"/>
      <c r="C66" s="11">
        <v>1015050</v>
      </c>
      <c r="D66" s="17" t="s">
        <v>296</v>
      </c>
      <c r="E66" s="17" t="s">
        <v>297</v>
      </c>
      <c r="F66" s="20" t="s">
        <v>189</v>
      </c>
      <c r="G66" s="54">
        <f>H66+M66</f>
        <v>463364</v>
      </c>
      <c r="H66" s="56">
        <v>463364</v>
      </c>
      <c r="I66" s="56">
        <v>433000</v>
      </c>
      <c r="J66" s="56"/>
      <c r="K66" s="56"/>
      <c r="L66" s="56">
        <v>18591</v>
      </c>
      <c r="M66" s="56"/>
      <c r="N66" s="54">
        <f>O66+T66</f>
        <v>22699.98</v>
      </c>
      <c r="O66" s="55"/>
      <c r="P66" s="55"/>
      <c r="Q66" s="55"/>
      <c r="R66" s="55"/>
      <c r="S66" s="55"/>
      <c r="T66" s="56">
        <v>22699.98</v>
      </c>
      <c r="U66" s="56">
        <v>22699.98</v>
      </c>
      <c r="V66" s="55"/>
      <c r="W66" s="54">
        <f t="shared" si="10"/>
        <v>486063.98</v>
      </c>
    </row>
    <row r="67" spans="1:23" s="42" customFormat="1" ht="21" customHeight="1">
      <c r="A67" s="48"/>
      <c r="B67" s="9"/>
      <c r="C67" s="9">
        <v>1016300</v>
      </c>
      <c r="D67" s="16" t="s">
        <v>514</v>
      </c>
      <c r="E67" s="16"/>
      <c r="F67" s="10" t="s">
        <v>515</v>
      </c>
      <c r="G67" s="54"/>
      <c r="H67" s="55"/>
      <c r="I67" s="55"/>
      <c r="J67" s="55"/>
      <c r="K67" s="55"/>
      <c r="L67" s="55"/>
      <c r="M67" s="55"/>
      <c r="N67" s="54">
        <f>SUM(N68:N70)</f>
        <v>530235.16</v>
      </c>
      <c r="O67" s="57"/>
      <c r="P67" s="57"/>
      <c r="Q67" s="57"/>
      <c r="R67" s="57"/>
      <c r="S67" s="57"/>
      <c r="T67" s="57">
        <f>SUM(T68:T70)</f>
        <v>530235.16</v>
      </c>
      <c r="U67" s="57">
        <f>SUM(U68:U70)</f>
        <v>530235.16</v>
      </c>
      <c r="V67" s="57"/>
      <c r="W67" s="54">
        <f t="shared" si="10"/>
        <v>530235.16</v>
      </c>
    </row>
    <row r="68" spans="1:23" s="42" customFormat="1" ht="30">
      <c r="A68" s="48"/>
      <c r="B68" s="9"/>
      <c r="C68" s="11">
        <v>1016310</v>
      </c>
      <c r="D68" s="80" t="s">
        <v>502</v>
      </c>
      <c r="E68" s="17" t="s">
        <v>503</v>
      </c>
      <c r="F68" s="20" t="s">
        <v>190</v>
      </c>
      <c r="G68" s="54"/>
      <c r="H68" s="55"/>
      <c r="I68" s="55"/>
      <c r="J68" s="55"/>
      <c r="K68" s="55"/>
      <c r="L68" s="55"/>
      <c r="M68" s="55"/>
      <c r="N68" s="54">
        <f>O68+T68</f>
        <v>131346.1</v>
      </c>
      <c r="O68" s="55"/>
      <c r="P68" s="55"/>
      <c r="Q68" s="55"/>
      <c r="R68" s="55"/>
      <c r="S68" s="55"/>
      <c r="T68" s="56">
        <v>131346.1</v>
      </c>
      <c r="U68" s="56">
        <v>131346.1</v>
      </c>
      <c r="V68" s="55"/>
      <c r="W68" s="54">
        <f t="shared" si="10"/>
        <v>131346.1</v>
      </c>
    </row>
    <row r="69" spans="1:23" s="42" customFormat="1" ht="60">
      <c r="A69" s="48"/>
      <c r="B69" s="9"/>
      <c r="C69" s="11">
        <v>1016330</v>
      </c>
      <c r="D69" s="80" t="s">
        <v>536</v>
      </c>
      <c r="E69" s="17" t="s">
        <v>28</v>
      </c>
      <c r="F69" s="20" t="s">
        <v>437</v>
      </c>
      <c r="G69" s="54"/>
      <c r="H69" s="55"/>
      <c r="I69" s="55"/>
      <c r="J69" s="55"/>
      <c r="K69" s="55"/>
      <c r="L69" s="55"/>
      <c r="M69" s="55"/>
      <c r="N69" s="54">
        <f>O69+T69</f>
        <v>393320.67</v>
      </c>
      <c r="O69" s="55"/>
      <c r="P69" s="55"/>
      <c r="Q69" s="55"/>
      <c r="R69" s="55"/>
      <c r="S69" s="55"/>
      <c r="T69" s="56">
        <v>393320.67</v>
      </c>
      <c r="U69" s="56">
        <v>393320.67</v>
      </c>
      <c r="V69" s="55"/>
      <c r="W69" s="54">
        <f t="shared" si="10"/>
        <v>393320.67</v>
      </c>
    </row>
    <row r="70" spans="1:23" s="42" customFormat="1" ht="60">
      <c r="A70" s="48"/>
      <c r="B70" s="9"/>
      <c r="C70" s="11">
        <v>1016350</v>
      </c>
      <c r="D70" s="17" t="s">
        <v>537</v>
      </c>
      <c r="E70" s="17" t="s">
        <v>290</v>
      </c>
      <c r="F70" s="20" t="s">
        <v>438</v>
      </c>
      <c r="G70" s="54"/>
      <c r="H70" s="55"/>
      <c r="I70" s="55"/>
      <c r="J70" s="55"/>
      <c r="K70" s="55"/>
      <c r="L70" s="55"/>
      <c r="M70" s="55"/>
      <c r="N70" s="54">
        <f>O70+T70</f>
        <v>5568.39</v>
      </c>
      <c r="O70" s="55"/>
      <c r="P70" s="55"/>
      <c r="Q70" s="55"/>
      <c r="R70" s="55"/>
      <c r="S70" s="55"/>
      <c r="T70" s="56">
        <v>5568.39</v>
      </c>
      <c r="U70" s="56">
        <v>5568.39</v>
      </c>
      <c r="V70" s="55"/>
      <c r="W70" s="54">
        <f t="shared" si="10"/>
        <v>5568.39</v>
      </c>
    </row>
    <row r="71" spans="1:23" s="42" customFormat="1" ht="76.5" customHeight="1" hidden="1">
      <c r="A71" s="48"/>
      <c r="B71" s="9"/>
      <c r="C71" s="11"/>
      <c r="D71" s="16" t="s">
        <v>516</v>
      </c>
      <c r="E71" s="16" t="s">
        <v>503</v>
      </c>
      <c r="F71" s="10" t="s">
        <v>298</v>
      </c>
      <c r="G71" s="54"/>
      <c r="H71" s="55"/>
      <c r="I71" s="55"/>
      <c r="J71" s="55"/>
      <c r="K71" s="55"/>
      <c r="L71" s="55"/>
      <c r="M71" s="55"/>
      <c r="N71" s="54"/>
      <c r="O71" s="55"/>
      <c r="P71" s="55"/>
      <c r="Q71" s="55"/>
      <c r="R71" s="55"/>
      <c r="S71" s="55"/>
      <c r="T71" s="55"/>
      <c r="U71" s="55"/>
      <c r="V71" s="55"/>
      <c r="W71" s="54">
        <f t="shared" si="10"/>
        <v>0</v>
      </c>
    </row>
    <row r="72" spans="1:23" s="42" customFormat="1" ht="85.5">
      <c r="A72" s="48"/>
      <c r="B72" s="9"/>
      <c r="C72" s="9">
        <v>1018098</v>
      </c>
      <c r="D72" s="16" t="s">
        <v>450</v>
      </c>
      <c r="E72" s="16" t="s">
        <v>501</v>
      </c>
      <c r="F72" s="10" t="s">
        <v>439</v>
      </c>
      <c r="G72" s="54">
        <f>H72+M72</f>
        <v>30400</v>
      </c>
      <c r="H72" s="56">
        <v>30400</v>
      </c>
      <c r="I72" s="55"/>
      <c r="J72" s="55"/>
      <c r="K72" s="55"/>
      <c r="L72" s="55"/>
      <c r="M72" s="55"/>
      <c r="N72" s="54">
        <f>O72+T72</f>
        <v>68603.8</v>
      </c>
      <c r="O72" s="56">
        <v>68603.8</v>
      </c>
      <c r="P72" s="55"/>
      <c r="Q72" s="55"/>
      <c r="R72" s="55"/>
      <c r="S72" s="55"/>
      <c r="T72" s="55"/>
      <c r="U72" s="55"/>
      <c r="V72" s="55"/>
      <c r="W72" s="54">
        <f t="shared" si="10"/>
        <v>99003.8</v>
      </c>
    </row>
    <row r="73" spans="1:23" s="42" customFormat="1" ht="14.25">
      <c r="A73" s="48"/>
      <c r="B73" s="9"/>
      <c r="C73" s="9">
        <v>1018600</v>
      </c>
      <c r="D73" s="16" t="s">
        <v>517</v>
      </c>
      <c r="E73" s="16" t="s">
        <v>26</v>
      </c>
      <c r="F73" s="10" t="s">
        <v>1</v>
      </c>
      <c r="G73" s="54">
        <f>H73+M73</f>
        <v>903805</v>
      </c>
      <c r="H73" s="55">
        <v>903805</v>
      </c>
      <c r="I73" s="55"/>
      <c r="J73" s="55"/>
      <c r="K73" s="55"/>
      <c r="L73" s="55"/>
      <c r="M73" s="55"/>
      <c r="N73" s="54"/>
      <c r="O73" s="55"/>
      <c r="P73" s="55"/>
      <c r="Q73" s="55"/>
      <c r="R73" s="55"/>
      <c r="S73" s="55"/>
      <c r="T73" s="55"/>
      <c r="U73" s="55"/>
      <c r="V73" s="55"/>
      <c r="W73" s="54">
        <f t="shared" si="10"/>
        <v>903805</v>
      </c>
    </row>
    <row r="74" spans="1:23" s="42" customFormat="1" ht="119.25" customHeight="1">
      <c r="A74" s="48"/>
      <c r="B74" s="9"/>
      <c r="C74" s="11"/>
      <c r="D74" s="16"/>
      <c r="E74" s="16"/>
      <c r="F74" s="20" t="s">
        <v>449</v>
      </c>
      <c r="G74" s="54">
        <f>H74+M74</f>
        <v>903805</v>
      </c>
      <c r="H74" s="56">
        <f>H73</f>
        <v>903805</v>
      </c>
      <c r="I74" s="55"/>
      <c r="J74" s="55"/>
      <c r="K74" s="55"/>
      <c r="L74" s="55"/>
      <c r="M74" s="55"/>
      <c r="N74" s="54"/>
      <c r="O74" s="55"/>
      <c r="P74" s="55"/>
      <c r="Q74" s="55"/>
      <c r="R74" s="55"/>
      <c r="S74" s="55"/>
      <c r="T74" s="55"/>
      <c r="U74" s="55"/>
      <c r="V74" s="55"/>
      <c r="W74" s="54">
        <f t="shared" si="10"/>
        <v>903805</v>
      </c>
    </row>
    <row r="75" spans="1:23" s="68" customFormat="1" ht="28.5">
      <c r="A75" s="67"/>
      <c r="B75" s="9"/>
      <c r="C75" s="21" t="s">
        <v>118</v>
      </c>
      <c r="D75" s="21"/>
      <c r="E75" s="21"/>
      <c r="F75" s="22" t="s">
        <v>538</v>
      </c>
      <c r="G75" s="53">
        <f>G77+G78+G94+G96+G92</f>
        <v>229100231.4</v>
      </c>
      <c r="H75" s="53">
        <f>H77+H78+H94+H96+H92</f>
        <v>229100231.4</v>
      </c>
      <c r="I75" s="53">
        <f>I77+I78+I94+I96</f>
        <v>170281517</v>
      </c>
      <c r="J75" s="53">
        <f>J77+J78+J94+J96</f>
        <v>12491134</v>
      </c>
      <c r="K75" s="53">
        <f>K77+K78+K94+K96</f>
        <v>3253300</v>
      </c>
      <c r="L75" s="53">
        <f>L77+L78+L94+L96</f>
        <v>24726557</v>
      </c>
      <c r="M75" s="53"/>
      <c r="N75" s="53">
        <f aca="true" t="shared" si="17" ref="N75:U75">N77+N78+N94+N96</f>
        <v>14864053.81</v>
      </c>
      <c r="O75" s="53">
        <f t="shared" si="17"/>
        <v>12748800</v>
      </c>
      <c r="P75" s="53">
        <f t="shared" si="17"/>
        <v>5191400</v>
      </c>
      <c r="Q75" s="53">
        <f t="shared" si="17"/>
        <v>3462900</v>
      </c>
      <c r="R75" s="53">
        <f t="shared" si="17"/>
        <v>197400</v>
      </c>
      <c r="S75" s="53">
        <f t="shared" si="17"/>
        <v>843300</v>
      </c>
      <c r="T75" s="53">
        <f t="shared" si="17"/>
        <v>2115253.81</v>
      </c>
      <c r="U75" s="53">
        <f t="shared" si="17"/>
        <v>1817653.81</v>
      </c>
      <c r="V75" s="53"/>
      <c r="W75" s="53">
        <f>W77+W78+W94+W96+W92</f>
        <v>243964285.21</v>
      </c>
    </row>
    <row r="76" spans="1:23" s="68" customFormat="1" ht="28.5">
      <c r="A76" s="67"/>
      <c r="B76" s="9"/>
      <c r="C76" s="21" t="s">
        <v>119</v>
      </c>
      <c r="D76" s="21"/>
      <c r="E76" s="21"/>
      <c r="F76" s="22" t="s">
        <v>115</v>
      </c>
      <c r="G76" s="53">
        <f>G77+G78+G94+G96+G92</f>
        <v>229100231.4</v>
      </c>
      <c r="H76" s="53">
        <f>H77+H78+H94+H96+H92</f>
        <v>229100231.4</v>
      </c>
      <c r="I76" s="53">
        <f>I77+I78+I94+I96</f>
        <v>170281517</v>
      </c>
      <c r="J76" s="53">
        <f>J77+J78+J94+J96</f>
        <v>12491134</v>
      </c>
      <c r="K76" s="53">
        <f>K77+K78+K94+K96</f>
        <v>3253300</v>
      </c>
      <c r="L76" s="53">
        <f>L77+L78+L94+L96</f>
        <v>24726557</v>
      </c>
      <c r="M76" s="53"/>
      <c r="N76" s="53">
        <f aca="true" t="shared" si="18" ref="N76:U76">N77+N78+N94+N96</f>
        <v>14864053.81</v>
      </c>
      <c r="O76" s="53">
        <f t="shared" si="18"/>
        <v>12748800</v>
      </c>
      <c r="P76" s="53">
        <f t="shared" si="18"/>
        <v>5191400</v>
      </c>
      <c r="Q76" s="53">
        <f t="shared" si="18"/>
        <v>3462900</v>
      </c>
      <c r="R76" s="53">
        <f t="shared" si="18"/>
        <v>197400</v>
      </c>
      <c r="S76" s="53">
        <f t="shared" si="18"/>
        <v>843300</v>
      </c>
      <c r="T76" s="53">
        <f t="shared" si="18"/>
        <v>2115253.81</v>
      </c>
      <c r="U76" s="53">
        <f t="shared" si="18"/>
        <v>1817653.81</v>
      </c>
      <c r="V76" s="53"/>
      <c r="W76" s="53">
        <f>W77+W78+W94+W96+W92</f>
        <v>243964285.21</v>
      </c>
    </row>
    <row r="77" spans="1:23" s="42" customFormat="1" ht="60">
      <c r="A77" s="48"/>
      <c r="B77" s="16" t="s">
        <v>505</v>
      </c>
      <c r="C77" s="17" t="s">
        <v>120</v>
      </c>
      <c r="D77" s="17" t="s">
        <v>499</v>
      </c>
      <c r="E77" s="17" t="s">
        <v>494</v>
      </c>
      <c r="F77" s="12" t="s">
        <v>167</v>
      </c>
      <c r="G77" s="54">
        <f>H77+M77</f>
        <v>1237314</v>
      </c>
      <c r="H77" s="56">
        <v>1237314</v>
      </c>
      <c r="I77" s="56">
        <v>1085617</v>
      </c>
      <c r="J77" s="56"/>
      <c r="K77" s="56"/>
      <c r="L77" s="56">
        <v>50348</v>
      </c>
      <c r="M77" s="55"/>
      <c r="N77" s="54"/>
      <c r="O77" s="55"/>
      <c r="P77" s="55"/>
      <c r="Q77" s="55"/>
      <c r="R77" s="55"/>
      <c r="S77" s="55"/>
      <c r="T77" s="55"/>
      <c r="U77" s="55"/>
      <c r="V77" s="55"/>
      <c r="W77" s="54">
        <f>G77+N77</f>
        <v>1237314</v>
      </c>
    </row>
    <row r="78" spans="1:23" s="42" customFormat="1" ht="14.25">
      <c r="A78" s="48"/>
      <c r="B78" s="9"/>
      <c r="C78" s="9">
        <v>1412000</v>
      </c>
      <c r="D78" s="16" t="s">
        <v>539</v>
      </c>
      <c r="E78" s="16"/>
      <c r="F78" s="10" t="s">
        <v>20</v>
      </c>
      <c r="G78" s="54">
        <f>H78+M78</f>
        <v>225678163</v>
      </c>
      <c r="H78" s="55">
        <f aca="true" t="shared" si="19" ref="H78:L79">H81+H84+H86+H88+H90</f>
        <v>225678163</v>
      </c>
      <c r="I78" s="55">
        <f t="shared" si="19"/>
        <v>169195900</v>
      </c>
      <c r="J78" s="55">
        <f t="shared" si="19"/>
        <v>12491134</v>
      </c>
      <c r="K78" s="55">
        <f t="shared" si="19"/>
        <v>3253300</v>
      </c>
      <c r="L78" s="55">
        <f t="shared" si="19"/>
        <v>24676209</v>
      </c>
      <c r="M78" s="55"/>
      <c r="N78" s="54">
        <f>SUM(N81:N90)-N83</f>
        <v>14761309.71</v>
      </c>
      <c r="O78" s="55">
        <f>SUM(O81:O90)</f>
        <v>12748800</v>
      </c>
      <c r="P78" s="55">
        <f>SUM(P81:P90)</f>
        <v>5191400</v>
      </c>
      <c r="Q78" s="55">
        <f>SUM(Q81:Q90)</f>
        <v>3462900</v>
      </c>
      <c r="R78" s="55">
        <f>SUM(R81:R90)</f>
        <v>197400</v>
      </c>
      <c r="S78" s="55">
        <f>SUM(S81:S90)</f>
        <v>843300</v>
      </c>
      <c r="T78" s="55">
        <f>SUM(T81:T90)-T83</f>
        <v>2012509.71</v>
      </c>
      <c r="U78" s="55">
        <f>SUM(U81:U90)-U83</f>
        <v>1714909.71</v>
      </c>
      <c r="V78" s="55"/>
      <c r="W78" s="54">
        <f aca="true" t="shared" si="20" ref="W78:W96">G78+N78</f>
        <v>240439472.71</v>
      </c>
    </row>
    <row r="79" spans="1:23" s="42" customFormat="1" ht="30">
      <c r="A79" s="48"/>
      <c r="B79" s="9"/>
      <c r="C79" s="11"/>
      <c r="D79" s="16"/>
      <c r="E79" s="16"/>
      <c r="F79" s="20" t="s">
        <v>455</v>
      </c>
      <c r="G79" s="54">
        <f aca="true" t="shared" si="21" ref="G79:G96">H79+M79</f>
        <v>186519200</v>
      </c>
      <c r="H79" s="119">
        <f t="shared" si="19"/>
        <v>186519200</v>
      </c>
      <c r="I79" s="119">
        <f t="shared" si="19"/>
        <v>137523000</v>
      </c>
      <c r="J79" s="119">
        <f t="shared" si="19"/>
        <v>8117470</v>
      </c>
      <c r="K79" s="119">
        <f t="shared" si="19"/>
        <v>3253300</v>
      </c>
      <c r="L79" s="119">
        <f t="shared" si="19"/>
        <v>24561500</v>
      </c>
      <c r="M79" s="122"/>
      <c r="N79" s="54"/>
      <c r="O79" s="55"/>
      <c r="P79" s="55"/>
      <c r="Q79" s="55"/>
      <c r="R79" s="55"/>
      <c r="S79" s="55"/>
      <c r="T79" s="55"/>
      <c r="U79" s="55"/>
      <c r="V79" s="55"/>
      <c r="W79" s="54">
        <f t="shared" si="20"/>
        <v>186519200</v>
      </c>
    </row>
    <row r="80" spans="1:23" s="42" customFormat="1" ht="30">
      <c r="A80" s="48"/>
      <c r="B80" s="9"/>
      <c r="C80" s="11"/>
      <c r="D80" s="16"/>
      <c r="E80" s="16"/>
      <c r="F80" s="43" t="s">
        <v>372</v>
      </c>
      <c r="G80" s="54"/>
      <c r="H80" s="119"/>
      <c r="I80" s="119"/>
      <c r="J80" s="119"/>
      <c r="K80" s="119"/>
      <c r="L80" s="119"/>
      <c r="M80" s="122"/>
      <c r="N80" s="54">
        <f>O80+T80</f>
        <v>413000</v>
      </c>
      <c r="O80" s="55"/>
      <c r="P80" s="55"/>
      <c r="Q80" s="55"/>
      <c r="R80" s="55"/>
      <c r="S80" s="55"/>
      <c r="T80" s="56">
        <f>T83</f>
        <v>413000</v>
      </c>
      <c r="U80" s="56">
        <f>U83</f>
        <v>413000</v>
      </c>
      <c r="V80" s="55"/>
      <c r="W80" s="54">
        <f t="shared" si="20"/>
        <v>413000</v>
      </c>
    </row>
    <row r="81" spans="1:23" s="42" customFormat="1" ht="30">
      <c r="A81" s="48"/>
      <c r="B81" s="9"/>
      <c r="C81" s="11">
        <v>1412010</v>
      </c>
      <c r="D81" s="17" t="s">
        <v>540</v>
      </c>
      <c r="E81" s="17" t="s">
        <v>299</v>
      </c>
      <c r="F81" s="20" t="s">
        <v>440</v>
      </c>
      <c r="G81" s="54">
        <f t="shared" si="21"/>
        <v>125094630</v>
      </c>
      <c r="H81" s="119">
        <f>104500310+17362300+3075640+156380</f>
        <v>125094630</v>
      </c>
      <c r="I81" s="119">
        <f>75387200+17362300</f>
        <v>92749500</v>
      </c>
      <c r="J81" s="119">
        <f>5976941+3075640</f>
        <v>9052581</v>
      </c>
      <c r="K81" s="119">
        <v>2886100</v>
      </c>
      <c r="L81" s="119">
        <v>15632709</v>
      </c>
      <c r="M81" s="119"/>
      <c r="N81" s="54">
        <f>O81+T81</f>
        <v>1908414.57</v>
      </c>
      <c r="O81" s="56">
        <f>1124900-50700</f>
        <v>1074200</v>
      </c>
      <c r="P81" s="56">
        <v>89800</v>
      </c>
      <c r="Q81" s="56">
        <v>2900</v>
      </c>
      <c r="R81" s="56">
        <v>25800</v>
      </c>
      <c r="S81" s="56">
        <v>156700</v>
      </c>
      <c r="T81" s="56">
        <f>370514.57+50700+400000+13000</f>
        <v>834214.5700000001</v>
      </c>
      <c r="U81" s="56">
        <f>370514.57+400000+13000</f>
        <v>783514.5700000001</v>
      </c>
      <c r="V81" s="55"/>
      <c r="W81" s="54">
        <f t="shared" si="20"/>
        <v>127003044.57</v>
      </c>
    </row>
    <row r="82" spans="1:23" s="42" customFormat="1" ht="30">
      <c r="A82" s="48"/>
      <c r="B82" s="9"/>
      <c r="C82" s="11"/>
      <c r="D82" s="17"/>
      <c r="E82" s="17"/>
      <c r="F82" s="20" t="s">
        <v>461</v>
      </c>
      <c r="G82" s="54">
        <f t="shared" si="21"/>
        <v>102643960</v>
      </c>
      <c r="H82" s="119">
        <v>102643960</v>
      </c>
      <c r="I82" s="119">
        <v>75387200</v>
      </c>
      <c r="J82" s="119">
        <v>5585120</v>
      </c>
      <c r="K82" s="119">
        <v>2886100</v>
      </c>
      <c r="L82" s="119">
        <v>15518000</v>
      </c>
      <c r="M82" s="119"/>
      <c r="N82" s="54"/>
      <c r="O82" s="56"/>
      <c r="P82" s="56"/>
      <c r="Q82" s="56"/>
      <c r="R82" s="56"/>
      <c r="S82" s="56"/>
      <c r="T82" s="56"/>
      <c r="U82" s="56"/>
      <c r="V82" s="55"/>
      <c r="W82" s="54">
        <f t="shared" si="20"/>
        <v>102643960</v>
      </c>
    </row>
    <row r="83" spans="1:23" s="42" customFormat="1" ht="30">
      <c r="A83" s="48"/>
      <c r="B83" s="9"/>
      <c r="C83" s="11"/>
      <c r="D83" s="17"/>
      <c r="E83" s="17"/>
      <c r="F83" s="43" t="s">
        <v>372</v>
      </c>
      <c r="G83" s="54"/>
      <c r="H83" s="119"/>
      <c r="I83" s="119"/>
      <c r="J83" s="119"/>
      <c r="K83" s="119"/>
      <c r="L83" s="119"/>
      <c r="M83" s="119"/>
      <c r="N83" s="54">
        <f>O83+T83</f>
        <v>413000</v>
      </c>
      <c r="O83" s="56"/>
      <c r="P83" s="56"/>
      <c r="Q83" s="56"/>
      <c r="R83" s="56"/>
      <c r="S83" s="56"/>
      <c r="T83" s="56">
        <f>400000+13000</f>
        <v>413000</v>
      </c>
      <c r="U83" s="56">
        <f>400000+13000</f>
        <v>413000</v>
      </c>
      <c r="V83" s="55"/>
      <c r="W83" s="54">
        <f t="shared" si="20"/>
        <v>413000</v>
      </c>
    </row>
    <row r="84" spans="1:23" s="42" customFormat="1" ht="45.75" customHeight="1">
      <c r="A84" s="48"/>
      <c r="B84" s="9"/>
      <c r="C84" s="11">
        <v>1412050</v>
      </c>
      <c r="D84" s="17" t="s">
        <v>541</v>
      </c>
      <c r="E84" s="17" t="s">
        <v>300</v>
      </c>
      <c r="F84" s="20" t="s">
        <v>441</v>
      </c>
      <c r="G84" s="54">
        <f t="shared" si="21"/>
        <v>30516050</v>
      </c>
      <c r="H84" s="119">
        <f>25154350+4665400+696300</f>
        <v>30516050</v>
      </c>
      <c r="I84" s="119">
        <f>20256600+4665400</f>
        <v>24922000</v>
      </c>
      <c r="J84" s="119">
        <f>532100+648550</f>
        <v>1180650</v>
      </c>
      <c r="K84" s="119">
        <v>367200</v>
      </c>
      <c r="L84" s="119">
        <v>3772500</v>
      </c>
      <c r="M84" s="119"/>
      <c r="N84" s="54">
        <f aca="true" t="shared" si="22" ref="N84:N90">O84+T84</f>
        <v>4262634.82</v>
      </c>
      <c r="O84" s="56">
        <f>4039300-53700</f>
        <v>3985600</v>
      </c>
      <c r="P84" s="56"/>
      <c r="Q84" s="56">
        <v>2904800</v>
      </c>
      <c r="R84" s="56">
        <v>64500</v>
      </c>
      <c r="S84" s="56">
        <v>56100</v>
      </c>
      <c r="T84" s="56">
        <f>223334.82+53700</f>
        <v>277034.82</v>
      </c>
      <c r="U84" s="56">
        <v>223334.82</v>
      </c>
      <c r="V84" s="55"/>
      <c r="W84" s="54">
        <f t="shared" si="20"/>
        <v>34778684.82</v>
      </c>
    </row>
    <row r="85" spans="1:23" s="42" customFormat="1" ht="30">
      <c r="A85" s="48"/>
      <c r="B85" s="9"/>
      <c r="C85" s="11"/>
      <c r="D85" s="17"/>
      <c r="E85" s="17"/>
      <c r="F85" s="20" t="s">
        <v>461</v>
      </c>
      <c r="G85" s="54">
        <f t="shared" si="21"/>
        <v>25062650</v>
      </c>
      <c r="H85" s="119">
        <v>25062650</v>
      </c>
      <c r="I85" s="119">
        <v>20256600</v>
      </c>
      <c r="J85" s="119">
        <v>392650</v>
      </c>
      <c r="K85" s="119">
        <v>367200</v>
      </c>
      <c r="L85" s="119">
        <v>3772500</v>
      </c>
      <c r="M85" s="119"/>
      <c r="N85" s="54"/>
      <c r="O85" s="56"/>
      <c r="P85" s="56"/>
      <c r="Q85" s="56"/>
      <c r="R85" s="56"/>
      <c r="S85" s="56"/>
      <c r="T85" s="56"/>
      <c r="U85" s="56"/>
      <c r="V85" s="55"/>
      <c r="W85" s="54">
        <f t="shared" si="20"/>
        <v>25062650</v>
      </c>
    </row>
    <row r="86" spans="1:23" s="42" customFormat="1" ht="30">
      <c r="A86" s="48"/>
      <c r="B86" s="9"/>
      <c r="C86" s="11">
        <v>1412120</v>
      </c>
      <c r="D86" s="17" t="s">
        <v>542</v>
      </c>
      <c r="E86" s="17" t="s">
        <v>301</v>
      </c>
      <c r="F86" s="20" t="s">
        <v>442</v>
      </c>
      <c r="G86" s="54">
        <f t="shared" si="21"/>
        <v>57741683</v>
      </c>
      <c r="H86" s="119">
        <f>48633533+7630000+1419100+59050</f>
        <v>57741683</v>
      </c>
      <c r="I86" s="119">
        <f>33483000+7630000</f>
        <v>41113000</v>
      </c>
      <c r="J86" s="119">
        <f>2021543+16760</f>
        <v>2038303</v>
      </c>
      <c r="K86" s="119"/>
      <c r="L86" s="119">
        <v>4575300</v>
      </c>
      <c r="M86" s="119"/>
      <c r="N86" s="54">
        <f t="shared" si="22"/>
        <v>5258998.32</v>
      </c>
      <c r="O86" s="56">
        <f>4555900-75200</f>
        <v>4480700</v>
      </c>
      <c r="P86" s="56">
        <v>2773400</v>
      </c>
      <c r="Q86" s="56">
        <v>406400</v>
      </c>
      <c r="R86" s="56">
        <v>101400</v>
      </c>
      <c r="S86" s="56">
        <v>314100</v>
      </c>
      <c r="T86" s="56">
        <f>703098.32+75200</f>
        <v>778298.32</v>
      </c>
      <c r="U86" s="56">
        <v>703098.32</v>
      </c>
      <c r="V86" s="55"/>
      <c r="W86" s="54">
        <f t="shared" si="20"/>
        <v>63000681.32</v>
      </c>
    </row>
    <row r="87" spans="1:23" s="42" customFormat="1" ht="30">
      <c r="A87" s="48"/>
      <c r="B87" s="9"/>
      <c r="C87" s="11"/>
      <c r="D87" s="17"/>
      <c r="E87" s="17"/>
      <c r="F87" s="20" t="s">
        <v>461</v>
      </c>
      <c r="G87" s="54">
        <f t="shared" si="21"/>
        <v>48501990</v>
      </c>
      <c r="H87" s="119">
        <v>48501990</v>
      </c>
      <c r="I87" s="119">
        <v>33483000</v>
      </c>
      <c r="J87" s="119">
        <v>1920100</v>
      </c>
      <c r="K87" s="119"/>
      <c r="L87" s="119">
        <v>4575300</v>
      </c>
      <c r="M87" s="119"/>
      <c r="N87" s="54"/>
      <c r="O87" s="56"/>
      <c r="P87" s="56"/>
      <c r="Q87" s="56"/>
      <c r="R87" s="56"/>
      <c r="S87" s="56"/>
      <c r="T87" s="56"/>
      <c r="U87" s="56"/>
      <c r="V87" s="55"/>
      <c r="W87" s="54">
        <f t="shared" si="20"/>
        <v>48501990</v>
      </c>
    </row>
    <row r="88" spans="1:23" s="42" customFormat="1" ht="30">
      <c r="A88" s="48"/>
      <c r="B88" s="9"/>
      <c r="C88" s="11">
        <v>1412140</v>
      </c>
      <c r="D88" s="17" t="s">
        <v>544</v>
      </c>
      <c r="E88" s="17" t="s">
        <v>302</v>
      </c>
      <c r="F88" s="20" t="s">
        <v>443</v>
      </c>
      <c r="G88" s="54">
        <f t="shared" si="21"/>
        <v>10720000</v>
      </c>
      <c r="H88" s="119">
        <f>8913900+1806100</f>
        <v>10720000</v>
      </c>
      <c r="I88" s="119">
        <f>7842100+1806100</f>
        <v>9648200</v>
      </c>
      <c r="J88" s="119">
        <v>219600</v>
      </c>
      <c r="K88" s="119"/>
      <c r="L88" s="119">
        <v>593000</v>
      </c>
      <c r="M88" s="119"/>
      <c r="N88" s="54">
        <f t="shared" si="22"/>
        <v>2409262</v>
      </c>
      <c r="O88" s="56">
        <f>2404300-95000</f>
        <v>2309300</v>
      </c>
      <c r="P88" s="56">
        <v>1604500</v>
      </c>
      <c r="Q88" s="56">
        <v>148800</v>
      </c>
      <c r="R88" s="56">
        <v>5700</v>
      </c>
      <c r="S88" s="56">
        <v>314400</v>
      </c>
      <c r="T88" s="56">
        <f>4962+95000</f>
        <v>99962</v>
      </c>
      <c r="U88" s="56">
        <v>4962</v>
      </c>
      <c r="V88" s="55"/>
      <c r="W88" s="54">
        <f t="shared" si="20"/>
        <v>13129262</v>
      </c>
    </row>
    <row r="89" spans="1:23" s="42" customFormat="1" ht="30">
      <c r="A89" s="48"/>
      <c r="B89" s="9"/>
      <c r="C89" s="11"/>
      <c r="D89" s="17"/>
      <c r="E89" s="17"/>
      <c r="F89" s="20" t="s">
        <v>461</v>
      </c>
      <c r="G89" s="54">
        <f t="shared" si="21"/>
        <v>8913900</v>
      </c>
      <c r="H89" s="119">
        <v>8913900</v>
      </c>
      <c r="I89" s="119">
        <v>7842100</v>
      </c>
      <c r="J89" s="119">
        <v>219600</v>
      </c>
      <c r="K89" s="119"/>
      <c r="L89" s="119">
        <v>593000</v>
      </c>
      <c r="M89" s="119"/>
      <c r="N89" s="54"/>
      <c r="O89" s="56"/>
      <c r="P89" s="56"/>
      <c r="Q89" s="56"/>
      <c r="R89" s="56"/>
      <c r="S89" s="56"/>
      <c r="T89" s="56"/>
      <c r="U89" s="56"/>
      <c r="V89" s="55"/>
      <c r="W89" s="54">
        <f t="shared" si="20"/>
        <v>8913900</v>
      </c>
    </row>
    <row r="90" spans="1:23" s="42" customFormat="1" ht="15">
      <c r="A90" s="48"/>
      <c r="B90" s="9"/>
      <c r="C90" s="11">
        <v>1412800</v>
      </c>
      <c r="D90" s="17" t="s">
        <v>545</v>
      </c>
      <c r="E90" s="17" t="s">
        <v>303</v>
      </c>
      <c r="F90" s="20" t="s">
        <v>444</v>
      </c>
      <c r="G90" s="54">
        <f t="shared" si="21"/>
        <v>1605800</v>
      </c>
      <c r="H90" s="119">
        <f>1396700+209100</f>
        <v>1605800</v>
      </c>
      <c r="I90" s="119">
        <f>554100+209100</f>
        <v>763200</v>
      </c>
      <c r="J90" s="119"/>
      <c r="K90" s="119"/>
      <c r="L90" s="119">
        <v>102700</v>
      </c>
      <c r="M90" s="119"/>
      <c r="N90" s="54">
        <f t="shared" si="22"/>
        <v>922000</v>
      </c>
      <c r="O90" s="56">
        <f>922000-23000</f>
        <v>899000</v>
      </c>
      <c r="P90" s="56">
        <v>723700</v>
      </c>
      <c r="Q90" s="56"/>
      <c r="R90" s="56"/>
      <c r="S90" s="56">
        <v>2000</v>
      </c>
      <c r="T90" s="56">
        <v>23000</v>
      </c>
      <c r="U90" s="55"/>
      <c r="V90" s="55"/>
      <c r="W90" s="54">
        <f t="shared" si="20"/>
        <v>2527800</v>
      </c>
    </row>
    <row r="91" spans="1:23" s="42" customFormat="1" ht="30">
      <c r="A91" s="48"/>
      <c r="B91" s="9"/>
      <c r="C91" s="11"/>
      <c r="D91" s="17"/>
      <c r="E91" s="17"/>
      <c r="F91" s="20" t="s">
        <v>461</v>
      </c>
      <c r="G91" s="54">
        <f t="shared" si="21"/>
        <v>1396700</v>
      </c>
      <c r="H91" s="119">
        <v>1396700</v>
      </c>
      <c r="I91" s="119">
        <v>554100</v>
      </c>
      <c r="J91" s="119"/>
      <c r="K91" s="119"/>
      <c r="L91" s="119">
        <v>102700</v>
      </c>
      <c r="M91" s="119"/>
      <c r="N91" s="54"/>
      <c r="O91" s="56"/>
      <c r="P91" s="56"/>
      <c r="Q91" s="56"/>
      <c r="R91" s="56"/>
      <c r="S91" s="56"/>
      <c r="T91" s="56"/>
      <c r="U91" s="55"/>
      <c r="V91" s="55"/>
      <c r="W91" s="54">
        <f t="shared" si="20"/>
        <v>1396700</v>
      </c>
    </row>
    <row r="92" spans="1:23" s="42" customFormat="1" ht="45">
      <c r="A92" s="48"/>
      <c r="B92" s="9"/>
      <c r="C92" s="11">
        <v>1413050</v>
      </c>
      <c r="D92" s="17" t="s">
        <v>74</v>
      </c>
      <c r="E92" s="17"/>
      <c r="F92" s="20" t="s">
        <v>212</v>
      </c>
      <c r="G92" s="54">
        <f t="shared" si="21"/>
        <v>117528</v>
      </c>
      <c r="H92" s="119">
        <v>117528</v>
      </c>
      <c r="I92" s="119"/>
      <c r="J92" s="119"/>
      <c r="K92" s="119"/>
      <c r="L92" s="119"/>
      <c r="M92" s="119"/>
      <c r="N92" s="54"/>
      <c r="O92" s="56"/>
      <c r="P92" s="56"/>
      <c r="Q92" s="56"/>
      <c r="R92" s="56"/>
      <c r="S92" s="56"/>
      <c r="T92" s="56"/>
      <c r="U92" s="55"/>
      <c r="V92" s="55"/>
      <c r="W92" s="54">
        <f t="shared" si="20"/>
        <v>117528</v>
      </c>
    </row>
    <row r="93" spans="1:23" s="42" customFormat="1" ht="30">
      <c r="A93" s="48"/>
      <c r="B93" s="9"/>
      <c r="C93" s="11"/>
      <c r="D93" s="17"/>
      <c r="E93" s="17"/>
      <c r="F93" s="20" t="s">
        <v>381</v>
      </c>
      <c r="G93" s="54">
        <f t="shared" si="21"/>
        <v>117528</v>
      </c>
      <c r="H93" s="119">
        <f>H92</f>
        <v>117528</v>
      </c>
      <c r="I93" s="119"/>
      <c r="J93" s="119"/>
      <c r="K93" s="119"/>
      <c r="L93" s="119"/>
      <c r="M93" s="119"/>
      <c r="N93" s="54"/>
      <c r="O93" s="56"/>
      <c r="P93" s="56"/>
      <c r="Q93" s="56"/>
      <c r="R93" s="56"/>
      <c r="S93" s="56"/>
      <c r="T93" s="56"/>
      <c r="U93" s="55"/>
      <c r="V93" s="55"/>
      <c r="W93" s="54">
        <f t="shared" si="20"/>
        <v>117528</v>
      </c>
    </row>
    <row r="94" spans="1:23" s="42" customFormat="1" ht="14.25">
      <c r="A94" s="48"/>
      <c r="B94" s="9"/>
      <c r="C94" s="9">
        <v>1416300</v>
      </c>
      <c r="D94" s="16" t="s">
        <v>514</v>
      </c>
      <c r="E94" s="16"/>
      <c r="F94" s="10" t="s">
        <v>515</v>
      </c>
      <c r="G94" s="54"/>
      <c r="H94" s="122"/>
      <c r="I94" s="122"/>
      <c r="J94" s="122"/>
      <c r="K94" s="122"/>
      <c r="L94" s="122"/>
      <c r="M94" s="122"/>
      <c r="N94" s="54">
        <f>N95</f>
        <v>102744.1</v>
      </c>
      <c r="O94" s="55"/>
      <c r="P94" s="55"/>
      <c r="Q94" s="55"/>
      <c r="R94" s="55"/>
      <c r="S94" s="55"/>
      <c r="T94" s="55">
        <f>T95</f>
        <v>102744.1</v>
      </c>
      <c r="U94" s="55">
        <f>U95</f>
        <v>102744.1</v>
      </c>
      <c r="V94" s="55"/>
      <c r="W94" s="54">
        <f t="shared" si="20"/>
        <v>102744.1</v>
      </c>
    </row>
    <row r="95" spans="1:23" s="42" customFormat="1" ht="60">
      <c r="A95" s="48"/>
      <c r="B95" s="9"/>
      <c r="C95" s="11">
        <v>1416360</v>
      </c>
      <c r="D95" s="17" t="s">
        <v>304</v>
      </c>
      <c r="E95" s="17" t="s">
        <v>299</v>
      </c>
      <c r="F95" s="20" t="s">
        <v>445</v>
      </c>
      <c r="G95" s="54"/>
      <c r="H95" s="122"/>
      <c r="I95" s="122"/>
      <c r="J95" s="122"/>
      <c r="K95" s="122"/>
      <c r="L95" s="122"/>
      <c r="M95" s="122"/>
      <c r="N95" s="54">
        <f>O95+T95</f>
        <v>102744.1</v>
      </c>
      <c r="O95" s="55"/>
      <c r="P95" s="55"/>
      <c r="Q95" s="55"/>
      <c r="R95" s="55"/>
      <c r="S95" s="55"/>
      <c r="T95" s="56">
        <v>102744.1</v>
      </c>
      <c r="U95" s="56">
        <v>102744.1</v>
      </c>
      <c r="V95" s="55"/>
      <c r="W95" s="54">
        <f t="shared" si="20"/>
        <v>102744.1</v>
      </c>
    </row>
    <row r="96" spans="1:23" s="42" customFormat="1" ht="14.25">
      <c r="A96" s="48"/>
      <c r="B96" s="9"/>
      <c r="C96" s="9">
        <v>1418600</v>
      </c>
      <c r="D96" s="16" t="s">
        <v>517</v>
      </c>
      <c r="E96" s="16" t="s">
        <v>26</v>
      </c>
      <c r="F96" s="10" t="s">
        <v>1</v>
      </c>
      <c r="G96" s="54">
        <f t="shared" si="21"/>
        <v>2067226.4</v>
      </c>
      <c r="H96" s="122">
        <v>2067226.4</v>
      </c>
      <c r="I96" s="122"/>
      <c r="J96" s="122"/>
      <c r="K96" s="122"/>
      <c r="L96" s="122"/>
      <c r="M96" s="122"/>
      <c r="N96" s="54"/>
      <c r="O96" s="55"/>
      <c r="P96" s="55"/>
      <c r="Q96" s="55"/>
      <c r="R96" s="55"/>
      <c r="S96" s="55"/>
      <c r="T96" s="55"/>
      <c r="U96" s="55"/>
      <c r="V96" s="55"/>
      <c r="W96" s="54">
        <f t="shared" si="20"/>
        <v>2067226.4</v>
      </c>
    </row>
    <row r="97" spans="1:23" s="68" customFormat="1" ht="31.5" customHeight="1">
      <c r="A97" s="67"/>
      <c r="B97" s="9"/>
      <c r="C97" s="24">
        <v>1500000</v>
      </c>
      <c r="D97" s="24"/>
      <c r="E97" s="24"/>
      <c r="F97" s="22" t="s">
        <v>0</v>
      </c>
      <c r="G97" s="58">
        <f>G99+G102+G100</f>
        <v>377686276</v>
      </c>
      <c r="H97" s="58">
        <f aca="true" t="shared" si="23" ref="H97:W97">H99+H102+H100</f>
        <v>377686276</v>
      </c>
      <c r="I97" s="58">
        <f t="shared" si="23"/>
        <v>18025293</v>
      </c>
      <c r="J97" s="58">
        <f t="shared" si="23"/>
        <v>1150</v>
      </c>
      <c r="K97" s="58">
        <f t="shared" si="23"/>
        <v>60240</v>
      </c>
      <c r="L97" s="58">
        <f t="shared" si="23"/>
        <v>538335</v>
      </c>
      <c r="M97" s="58"/>
      <c r="N97" s="58">
        <f t="shared" si="23"/>
        <v>275102.4</v>
      </c>
      <c r="O97" s="58">
        <f t="shared" si="23"/>
        <v>189419</v>
      </c>
      <c r="P97" s="58">
        <f t="shared" si="23"/>
        <v>22309</v>
      </c>
      <c r="Q97" s="58"/>
      <c r="R97" s="58">
        <f t="shared" si="23"/>
        <v>71130</v>
      </c>
      <c r="S97" s="58">
        <f t="shared" si="23"/>
        <v>21884</v>
      </c>
      <c r="T97" s="58">
        <f t="shared" si="23"/>
        <v>85683.4</v>
      </c>
      <c r="U97" s="58">
        <f t="shared" si="23"/>
        <v>85683.4</v>
      </c>
      <c r="V97" s="58"/>
      <c r="W97" s="58">
        <f t="shared" si="23"/>
        <v>377961378.4</v>
      </c>
    </row>
    <row r="98" spans="1:23" s="68" customFormat="1" ht="31.5" customHeight="1">
      <c r="A98" s="67"/>
      <c r="B98" s="9"/>
      <c r="C98" s="24">
        <v>1510000</v>
      </c>
      <c r="D98" s="24"/>
      <c r="E98" s="24"/>
      <c r="F98" s="22" t="s">
        <v>121</v>
      </c>
      <c r="G98" s="58">
        <f>G100+G99+G102</f>
        <v>377686276</v>
      </c>
      <c r="H98" s="58">
        <f aca="true" t="shared" si="24" ref="H98:W98">H100+H99+H102</f>
        <v>377686276</v>
      </c>
      <c r="I98" s="58">
        <f t="shared" si="24"/>
        <v>18025293</v>
      </c>
      <c r="J98" s="58">
        <f t="shared" si="24"/>
        <v>1150</v>
      </c>
      <c r="K98" s="58">
        <f t="shared" si="24"/>
        <v>60240</v>
      </c>
      <c r="L98" s="58">
        <f t="shared" si="24"/>
        <v>538335</v>
      </c>
      <c r="M98" s="58"/>
      <c r="N98" s="58">
        <f t="shared" si="24"/>
        <v>275102.4</v>
      </c>
      <c r="O98" s="58">
        <f t="shared" si="24"/>
        <v>189419</v>
      </c>
      <c r="P98" s="58">
        <f t="shared" si="24"/>
        <v>22309</v>
      </c>
      <c r="Q98" s="58"/>
      <c r="R98" s="58">
        <f t="shared" si="24"/>
        <v>71130</v>
      </c>
      <c r="S98" s="58">
        <f t="shared" si="24"/>
        <v>21884</v>
      </c>
      <c r="T98" s="58">
        <f t="shared" si="24"/>
        <v>85683.4</v>
      </c>
      <c r="U98" s="58">
        <f t="shared" si="24"/>
        <v>85683.4</v>
      </c>
      <c r="V98" s="58"/>
      <c r="W98" s="58">
        <f t="shared" si="24"/>
        <v>377961378.4</v>
      </c>
    </row>
    <row r="99" spans="1:23" s="42" customFormat="1" ht="60">
      <c r="A99" s="48"/>
      <c r="B99" s="16" t="s">
        <v>505</v>
      </c>
      <c r="C99" s="17" t="s">
        <v>122</v>
      </c>
      <c r="D99" s="17" t="s">
        <v>499</v>
      </c>
      <c r="E99" s="17" t="s">
        <v>494</v>
      </c>
      <c r="F99" s="12" t="s">
        <v>167</v>
      </c>
      <c r="G99" s="54">
        <f>H99+M99</f>
        <v>12755004</v>
      </c>
      <c r="H99" s="119">
        <v>12755004</v>
      </c>
      <c r="I99" s="119">
        <v>12269393</v>
      </c>
      <c r="J99" s="122"/>
      <c r="K99" s="122"/>
      <c r="L99" s="122"/>
      <c r="M99" s="122"/>
      <c r="N99" s="54"/>
      <c r="O99" s="55"/>
      <c r="P99" s="55"/>
      <c r="Q99" s="55"/>
      <c r="R99" s="55"/>
      <c r="S99" s="55"/>
      <c r="T99" s="55"/>
      <c r="U99" s="55"/>
      <c r="V99" s="55"/>
      <c r="W99" s="54">
        <f aca="true" t="shared" si="25" ref="W99:W136">G99+N99</f>
        <v>12755004</v>
      </c>
    </row>
    <row r="100" spans="1:23" s="42" customFormat="1" ht="76.5" customHeight="1">
      <c r="A100" s="48"/>
      <c r="B100" s="16"/>
      <c r="C100" s="17" t="s">
        <v>123</v>
      </c>
      <c r="D100" s="17" t="s">
        <v>509</v>
      </c>
      <c r="E100" s="17" t="s">
        <v>462</v>
      </c>
      <c r="F100" s="12" t="s">
        <v>446</v>
      </c>
      <c r="G100" s="54">
        <f>H100</f>
        <v>2464700</v>
      </c>
      <c r="H100" s="119">
        <f>H101</f>
        <v>2464700</v>
      </c>
      <c r="I100" s="119"/>
      <c r="J100" s="122"/>
      <c r="K100" s="122"/>
      <c r="L100" s="122"/>
      <c r="M100" s="122"/>
      <c r="N100" s="54"/>
      <c r="O100" s="55"/>
      <c r="P100" s="55"/>
      <c r="Q100" s="55"/>
      <c r="R100" s="55"/>
      <c r="S100" s="55"/>
      <c r="T100" s="55"/>
      <c r="U100" s="55"/>
      <c r="V100" s="55"/>
      <c r="W100" s="54">
        <f t="shared" si="25"/>
        <v>2464700</v>
      </c>
    </row>
    <row r="101" spans="1:23" s="42" customFormat="1" ht="30">
      <c r="A101" s="48"/>
      <c r="B101" s="16"/>
      <c r="C101" s="17"/>
      <c r="D101" s="17"/>
      <c r="E101" s="17"/>
      <c r="F101" s="43" t="s">
        <v>70</v>
      </c>
      <c r="G101" s="54">
        <f>H101</f>
        <v>2464700</v>
      </c>
      <c r="H101" s="119">
        <v>2464700</v>
      </c>
      <c r="I101" s="119"/>
      <c r="J101" s="122"/>
      <c r="K101" s="122"/>
      <c r="L101" s="122"/>
      <c r="M101" s="122"/>
      <c r="N101" s="54"/>
      <c r="O101" s="55"/>
      <c r="P101" s="55"/>
      <c r="Q101" s="55"/>
      <c r="R101" s="55"/>
      <c r="S101" s="55"/>
      <c r="T101" s="55"/>
      <c r="U101" s="55"/>
      <c r="V101" s="55"/>
      <c r="W101" s="54">
        <f t="shared" si="25"/>
        <v>2464700</v>
      </c>
    </row>
    <row r="102" spans="1:23" s="42" customFormat="1" ht="28.5">
      <c r="A102" s="48"/>
      <c r="B102" s="9"/>
      <c r="C102" s="9">
        <v>1513000</v>
      </c>
      <c r="D102" s="16" t="s">
        <v>510</v>
      </c>
      <c r="E102" s="16"/>
      <c r="F102" s="10" t="s">
        <v>511</v>
      </c>
      <c r="G102" s="54">
        <f>G105+G107+G109+G111+G113+G115+G117+G119+G121+G123+G131+G133+G135+G137+G139+G141+G143+G145+G147+G149+G151+G153+G155+G156+G157+G159+G161+G162+G163+G125+G127+G129</f>
        <v>362466572</v>
      </c>
      <c r="H102" s="124">
        <f>H105+H107+H109+H111+H113+H115+H117+H119+H121+H123+H131+H133+H135+H137+H139+H141+H143+H145+H147+H149+H151+H153+H155+H156+H157+H159+H161+H162+H163+H125+H127+H129</f>
        <v>362466572</v>
      </c>
      <c r="I102" s="124">
        <f aca="true" t="shared" si="26" ref="I102:U102">I105+I107+I109+I111+I113+I115+I117+I119+I121+I123+I131+I133+I135+I137+I139+I141+I143+I145+I147+I149+I151+I153+I155+I156+I157+I159+I161+I162+I163</f>
        <v>5755900</v>
      </c>
      <c r="J102" s="124">
        <f t="shared" si="26"/>
        <v>1150</v>
      </c>
      <c r="K102" s="124">
        <f t="shared" si="26"/>
        <v>60240</v>
      </c>
      <c r="L102" s="124">
        <f t="shared" si="26"/>
        <v>538335</v>
      </c>
      <c r="M102" s="124"/>
      <c r="N102" s="54">
        <f t="shared" si="26"/>
        <v>275102.4</v>
      </c>
      <c r="O102" s="57">
        <f t="shared" si="26"/>
        <v>189419</v>
      </c>
      <c r="P102" s="57">
        <f t="shared" si="26"/>
        <v>22309</v>
      </c>
      <c r="Q102" s="57"/>
      <c r="R102" s="57">
        <f t="shared" si="26"/>
        <v>71130</v>
      </c>
      <c r="S102" s="57">
        <f t="shared" si="26"/>
        <v>21884</v>
      </c>
      <c r="T102" s="57">
        <f t="shared" si="26"/>
        <v>85683.4</v>
      </c>
      <c r="U102" s="57">
        <f t="shared" si="26"/>
        <v>85683.4</v>
      </c>
      <c r="V102" s="57"/>
      <c r="W102" s="54">
        <f t="shared" si="25"/>
        <v>362741674.4</v>
      </c>
    </row>
    <row r="103" spans="1:23" s="42" customFormat="1" ht="30">
      <c r="A103" s="48"/>
      <c r="B103" s="11"/>
      <c r="C103" s="84"/>
      <c r="D103" s="49"/>
      <c r="E103" s="17"/>
      <c r="F103" s="43" t="s">
        <v>70</v>
      </c>
      <c r="G103" s="54">
        <f>G108+G106+G112+G114+G116+G118+G120+G122+G124+G126+G132+G134+G136+G138+G140+G142+G144+G146+G148+G152+G110+G128+G130</f>
        <v>348195400</v>
      </c>
      <c r="H103" s="57">
        <f>H108+H106+H112+H114+H116+H118+H120+H122+H124+H126+H132+H134+H136+H138+H140+H142+H144+H146+H148+H152+H110+H128+H130</f>
        <v>348195400</v>
      </c>
      <c r="I103" s="125"/>
      <c r="J103" s="125"/>
      <c r="K103" s="125"/>
      <c r="L103" s="125"/>
      <c r="M103" s="125"/>
      <c r="N103" s="54"/>
      <c r="O103" s="59"/>
      <c r="P103" s="59"/>
      <c r="Q103" s="59"/>
      <c r="R103" s="59"/>
      <c r="S103" s="59"/>
      <c r="T103" s="59"/>
      <c r="U103" s="59"/>
      <c r="V103" s="59"/>
      <c r="W103" s="54">
        <f t="shared" si="25"/>
        <v>348195400</v>
      </c>
    </row>
    <row r="104" spans="1:23" s="42" customFormat="1" ht="30">
      <c r="A104" s="48"/>
      <c r="B104" s="11"/>
      <c r="C104" s="84"/>
      <c r="D104" s="49"/>
      <c r="E104" s="17"/>
      <c r="F104" s="43" t="s">
        <v>381</v>
      </c>
      <c r="G104" s="54">
        <f>G154+G158+G160+G150+G164</f>
        <v>1550708</v>
      </c>
      <c r="H104" s="57">
        <f>H154+H158+H160+H150+H164</f>
        <v>1550708</v>
      </c>
      <c r="I104" s="125"/>
      <c r="J104" s="125"/>
      <c r="K104" s="125"/>
      <c r="L104" s="125"/>
      <c r="M104" s="125"/>
      <c r="N104" s="54"/>
      <c r="O104" s="59"/>
      <c r="P104" s="59"/>
      <c r="Q104" s="59"/>
      <c r="R104" s="59"/>
      <c r="S104" s="59"/>
      <c r="T104" s="59"/>
      <c r="U104" s="59"/>
      <c r="V104" s="59"/>
      <c r="W104" s="54">
        <f t="shared" si="25"/>
        <v>1550708</v>
      </c>
    </row>
    <row r="105" spans="1:23" s="42" customFormat="1" ht="288" customHeight="1">
      <c r="A105" s="48"/>
      <c r="B105" s="11"/>
      <c r="C105" s="84">
        <v>1513011</v>
      </c>
      <c r="D105" s="69" t="s">
        <v>69</v>
      </c>
      <c r="E105" s="69" t="s">
        <v>463</v>
      </c>
      <c r="F105" s="70" t="s">
        <v>447</v>
      </c>
      <c r="G105" s="54">
        <f>H105+M105</f>
        <v>49165200</v>
      </c>
      <c r="H105" s="119">
        <v>49165200</v>
      </c>
      <c r="I105" s="119"/>
      <c r="J105" s="119"/>
      <c r="K105" s="119"/>
      <c r="L105" s="119"/>
      <c r="M105" s="119"/>
      <c r="N105" s="54"/>
      <c r="O105" s="56"/>
      <c r="P105" s="56"/>
      <c r="Q105" s="56"/>
      <c r="R105" s="56"/>
      <c r="S105" s="56"/>
      <c r="T105" s="56"/>
      <c r="U105" s="56"/>
      <c r="V105" s="56"/>
      <c r="W105" s="54">
        <f t="shared" si="25"/>
        <v>49165200</v>
      </c>
    </row>
    <row r="106" spans="1:23" s="42" customFormat="1" ht="30">
      <c r="A106" s="48"/>
      <c r="B106" s="11"/>
      <c r="C106" s="84"/>
      <c r="D106" s="17"/>
      <c r="E106" s="71"/>
      <c r="F106" s="43" t="s">
        <v>70</v>
      </c>
      <c r="G106" s="54">
        <f>G105</f>
        <v>49165200</v>
      </c>
      <c r="H106" s="119">
        <f>H105</f>
        <v>49165200</v>
      </c>
      <c r="I106" s="119"/>
      <c r="J106" s="119"/>
      <c r="K106" s="119"/>
      <c r="L106" s="119"/>
      <c r="M106" s="119"/>
      <c r="N106" s="54"/>
      <c r="O106" s="56"/>
      <c r="P106" s="56"/>
      <c r="Q106" s="56"/>
      <c r="R106" s="56"/>
      <c r="S106" s="56"/>
      <c r="T106" s="56"/>
      <c r="U106" s="56"/>
      <c r="V106" s="56"/>
      <c r="W106" s="54">
        <f t="shared" si="25"/>
        <v>49165200</v>
      </c>
    </row>
    <row r="107" spans="1:23" s="42" customFormat="1" ht="258.75" customHeight="1">
      <c r="A107" s="48"/>
      <c r="B107" s="11"/>
      <c r="C107" s="11">
        <v>1513012</v>
      </c>
      <c r="D107" s="71" t="s">
        <v>72</v>
      </c>
      <c r="E107" s="115">
        <v>1030</v>
      </c>
      <c r="F107" s="44" t="s">
        <v>210</v>
      </c>
      <c r="G107" s="54">
        <f aca="true" t="shared" si="27" ref="G107:G117">H107+M107</f>
        <v>10500000</v>
      </c>
      <c r="H107" s="119">
        <v>10500000</v>
      </c>
      <c r="I107" s="119"/>
      <c r="J107" s="119"/>
      <c r="K107" s="119"/>
      <c r="L107" s="119"/>
      <c r="M107" s="119"/>
      <c r="N107" s="54"/>
      <c r="O107" s="56"/>
      <c r="P107" s="56"/>
      <c r="Q107" s="56"/>
      <c r="R107" s="56"/>
      <c r="S107" s="56"/>
      <c r="T107" s="56"/>
      <c r="U107" s="56"/>
      <c r="V107" s="56"/>
      <c r="W107" s="54">
        <f t="shared" si="25"/>
        <v>10500000</v>
      </c>
    </row>
    <row r="108" spans="1:23" s="42" customFormat="1" ht="30">
      <c r="A108" s="48"/>
      <c r="B108" s="11"/>
      <c r="C108" s="11"/>
      <c r="D108" s="17"/>
      <c r="E108" s="71"/>
      <c r="F108" s="43" t="s">
        <v>70</v>
      </c>
      <c r="G108" s="54">
        <f t="shared" si="27"/>
        <v>10500000</v>
      </c>
      <c r="H108" s="119">
        <f>H107</f>
        <v>10500000</v>
      </c>
      <c r="I108" s="119"/>
      <c r="J108" s="119"/>
      <c r="K108" s="119"/>
      <c r="L108" s="119"/>
      <c r="M108" s="119"/>
      <c r="N108" s="54"/>
      <c r="O108" s="56"/>
      <c r="P108" s="56"/>
      <c r="Q108" s="56"/>
      <c r="R108" s="56"/>
      <c r="S108" s="56"/>
      <c r="T108" s="56"/>
      <c r="U108" s="56"/>
      <c r="V108" s="56"/>
      <c r="W108" s="54">
        <f t="shared" si="25"/>
        <v>10500000</v>
      </c>
    </row>
    <row r="109" spans="1:23" s="42" customFormat="1" ht="117.75" customHeight="1">
      <c r="A109" s="48"/>
      <c r="B109" s="11"/>
      <c r="C109" s="84">
        <v>1513013</v>
      </c>
      <c r="D109" s="69" t="s">
        <v>73</v>
      </c>
      <c r="E109" s="69" t="s">
        <v>464</v>
      </c>
      <c r="F109" s="116" t="s">
        <v>211</v>
      </c>
      <c r="G109" s="54">
        <f t="shared" si="27"/>
        <v>6300000</v>
      </c>
      <c r="H109" s="119">
        <v>6300000</v>
      </c>
      <c r="I109" s="119"/>
      <c r="J109" s="119"/>
      <c r="K109" s="119"/>
      <c r="L109" s="119"/>
      <c r="M109" s="119"/>
      <c r="N109" s="54"/>
      <c r="O109" s="56"/>
      <c r="P109" s="56"/>
      <c r="Q109" s="56"/>
      <c r="R109" s="56"/>
      <c r="S109" s="56"/>
      <c r="T109" s="56"/>
      <c r="U109" s="56"/>
      <c r="V109" s="56"/>
      <c r="W109" s="54">
        <f t="shared" si="25"/>
        <v>6300000</v>
      </c>
    </row>
    <row r="110" spans="1:23" s="42" customFormat="1" ht="30">
      <c r="A110" s="48"/>
      <c r="B110" s="11"/>
      <c r="C110" s="84"/>
      <c r="D110" s="17"/>
      <c r="E110" s="71"/>
      <c r="F110" s="43" t="s">
        <v>70</v>
      </c>
      <c r="G110" s="54">
        <f t="shared" si="27"/>
        <v>6300000</v>
      </c>
      <c r="H110" s="119">
        <f>H109</f>
        <v>6300000</v>
      </c>
      <c r="I110" s="119"/>
      <c r="J110" s="119"/>
      <c r="K110" s="119"/>
      <c r="L110" s="119"/>
      <c r="M110" s="119"/>
      <c r="N110" s="54"/>
      <c r="O110" s="56"/>
      <c r="P110" s="56"/>
      <c r="Q110" s="56"/>
      <c r="R110" s="56"/>
      <c r="S110" s="56"/>
      <c r="T110" s="56"/>
      <c r="U110" s="56"/>
      <c r="V110" s="56"/>
      <c r="W110" s="54">
        <f t="shared" si="25"/>
        <v>6300000</v>
      </c>
    </row>
    <row r="111" spans="1:23" s="42" customFormat="1" ht="34.5" customHeight="1">
      <c r="A111" s="48"/>
      <c r="B111" s="11"/>
      <c r="C111" s="11">
        <v>1513015</v>
      </c>
      <c r="D111" s="71" t="s">
        <v>76</v>
      </c>
      <c r="E111" s="71">
        <v>1070</v>
      </c>
      <c r="F111" s="43" t="s">
        <v>213</v>
      </c>
      <c r="G111" s="54">
        <f t="shared" si="27"/>
        <v>3500000</v>
      </c>
      <c r="H111" s="119">
        <v>3500000</v>
      </c>
      <c r="I111" s="119"/>
      <c r="J111" s="119"/>
      <c r="K111" s="119"/>
      <c r="L111" s="119"/>
      <c r="M111" s="119"/>
      <c r="N111" s="54"/>
      <c r="O111" s="56"/>
      <c r="P111" s="56"/>
      <c r="Q111" s="56"/>
      <c r="R111" s="56"/>
      <c r="S111" s="56"/>
      <c r="T111" s="56"/>
      <c r="U111" s="56"/>
      <c r="V111" s="56"/>
      <c r="W111" s="54">
        <f t="shared" si="25"/>
        <v>3500000</v>
      </c>
    </row>
    <row r="112" spans="1:23" s="42" customFormat="1" ht="30">
      <c r="A112" s="48"/>
      <c r="B112" s="11"/>
      <c r="C112" s="11"/>
      <c r="D112" s="17"/>
      <c r="E112" s="71"/>
      <c r="F112" s="43" t="s">
        <v>70</v>
      </c>
      <c r="G112" s="54">
        <f t="shared" si="27"/>
        <v>3500000</v>
      </c>
      <c r="H112" s="119">
        <f>H111</f>
        <v>3500000</v>
      </c>
      <c r="I112" s="119"/>
      <c r="J112" s="119"/>
      <c r="K112" s="119"/>
      <c r="L112" s="119"/>
      <c r="M112" s="119"/>
      <c r="N112" s="54"/>
      <c r="O112" s="56"/>
      <c r="P112" s="56"/>
      <c r="Q112" s="56"/>
      <c r="R112" s="56"/>
      <c r="S112" s="56"/>
      <c r="T112" s="56"/>
      <c r="U112" s="56"/>
      <c r="V112" s="56"/>
      <c r="W112" s="54">
        <f t="shared" si="25"/>
        <v>3500000</v>
      </c>
    </row>
    <row r="113" spans="1:23" s="42" customFormat="1" ht="48.75" customHeight="1">
      <c r="A113" s="48"/>
      <c r="B113" s="11"/>
      <c r="C113" s="11">
        <v>1513016</v>
      </c>
      <c r="D113" s="71" t="s">
        <v>86</v>
      </c>
      <c r="E113" s="71">
        <v>1060</v>
      </c>
      <c r="F113" s="43" t="s">
        <v>223</v>
      </c>
      <c r="G113" s="54">
        <f t="shared" si="27"/>
        <v>41700000</v>
      </c>
      <c r="H113" s="119">
        <v>41700000</v>
      </c>
      <c r="I113" s="119"/>
      <c r="J113" s="119"/>
      <c r="K113" s="119"/>
      <c r="L113" s="119"/>
      <c r="M113" s="119"/>
      <c r="N113" s="54"/>
      <c r="O113" s="56"/>
      <c r="P113" s="56"/>
      <c r="Q113" s="56"/>
      <c r="R113" s="56"/>
      <c r="S113" s="56"/>
      <c r="T113" s="56"/>
      <c r="U113" s="56"/>
      <c r="V113" s="56"/>
      <c r="W113" s="54">
        <f t="shared" si="25"/>
        <v>41700000</v>
      </c>
    </row>
    <row r="114" spans="1:23" s="42" customFormat="1" ht="30">
      <c r="A114" s="48"/>
      <c r="B114" s="11"/>
      <c r="C114" s="11"/>
      <c r="D114" s="71"/>
      <c r="E114" s="71"/>
      <c r="F114" s="43" t="s">
        <v>70</v>
      </c>
      <c r="G114" s="54">
        <f t="shared" si="27"/>
        <v>41700000</v>
      </c>
      <c r="H114" s="119">
        <f>H113</f>
        <v>41700000</v>
      </c>
      <c r="I114" s="119"/>
      <c r="J114" s="119"/>
      <c r="K114" s="119"/>
      <c r="L114" s="119"/>
      <c r="M114" s="119"/>
      <c r="N114" s="54"/>
      <c r="O114" s="56"/>
      <c r="P114" s="56"/>
      <c r="Q114" s="56"/>
      <c r="R114" s="56"/>
      <c r="S114" s="56"/>
      <c r="T114" s="56"/>
      <c r="U114" s="56"/>
      <c r="V114" s="56"/>
      <c r="W114" s="54">
        <f t="shared" si="25"/>
        <v>41700000</v>
      </c>
    </row>
    <row r="115" spans="1:23" s="42" customFormat="1" ht="75">
      <c r="A115" s="48"/>
      <c r="B115" s="11"/>
      <c r="C115" s="11">
        <v>1513017</v>
      </c>
      <c r="D115" s="71" t="s">
        <v>88</v>
      </c>
      <c r="E115" s="71">
        <v>1060</v>
      </c>
      <c r="F115" s="43" t="s">
        <v>89</v>
      </c>
      <c r="G115" s="54">
        <f t="shared" si="27"/>
        <v>600000</v>
      </c>
      <c r="H115" s="119">
        <v>600000</v>
      </c>
      <c r="I115" s="119"/>
      <c r="J115" s="119"/>
      <c r="K115" s="119"/>
      <c r="L115" s="119"/>
      <c r="M115" s="119"/>
      <c r="N115" s="54"/>
      <c r="O115" s="56"/>
      <c r="P115" s="56"/>
      <c r="Q115" s="56"/>
      <c r="R115" s="56"/>
      <c r="S115" s="56"/>
      <c r="T115" s="56"/>
      <c r="U115" s="56"/>
      <c r="V115" s="56"/>
      <c r="W115" s="54">
        <f t="shared" si="25"/>
        <v>600000</v>
      </c>
    </row>
    <row r="116" spans="1:23" s="42" customFormat="1" ht="30">
      <c r="A116" s="48"/>
      <c r="B116" s="11"/>
      <c r="C116" s="11"/>
      <c r="D116" s="71"/>
      <c r="E116" s="73"/>
      <c r="F116" s="43" t="s">
        <v>70</v>
      </c>
      <c r="G116" s="54">
        <f t="shared" si="27"/>
        <v>600000</v>
      </c>
      <c r="H116" s="119">
        <f>H115</f>
        <v>600000</v>
      </c>
      <c r="I116" s="119"/>
      <c r="J116" s="119"/>
      <c r="K116" s="119"/>
      <c r="L116" s="119"/>
      <c r="M116" s="119"/>
      <c r="N116" s="54"/>
      <c r="O116" s="56"/>
      <c r="P116" s="56"/>
      <c r="Q116" s="56"/>
      <c r="R116" s="56"/>
      <c r="S116" s="56"/>
      <c r="T116" s="56"/>
      <c r="U116" s="56"/>
      <c r="V116" s="56"/>
      <c r="W116" s="54">
        <f t="shared" si="25"/>
        <v>600000</v>
      </c>
    </row>
    <row r="117" spans="1:23" s="42" customFormat="1" ht="256.5" customHeight="1">
      <c r="A117" s="48"/>
      <c r="B117" s="11"/>
      <c r="C117" s="11">
        <v>1513021</v>
      </c>
      <c r="D117" s="71" t="s">
        <v>71</v>
      </c>
      <c r="E117" s="72"/>
      <c r="F117" s="43" t="s">
        <v>448</v>
      </c>
      <c r="G117" s="54">
        <f t="shared" si="27"/>
        <v>10025</v>
      </c>
      <c r="H117" s="119">
        <v>10025</v>
      </c>
      <c r="I117" s="119"/>
      <c r="J117" s="119"/>
      <c r="K117" s="119"/>
      <c r="L117" s="119"/>
      <c r="M117" s="119"/>
      <c r="N117" s="54"/>
      <c r="O117" s="56"/>
      <c r="P117" s="56"/>
      <c r="Q117" s="56"/>
      <c r="R117" s="56"/>
      <c r="S117" s="56"/>
      <c r="T117" s="56"/>
      <c r="U117" s="56"/>
      <c r="V117" s="56"/>
      <c r="W117" s="54">
        <f t="shared" si="25"/>
        <v>10025</v>
      </c>
    </row>
    <row r="118" spans="1:23" s="42" customFormat="1" ht="30">
      <c r="A118" s="48"/>
      <c r="B118" s="11"/>
      <c r="C118" s="11"/>
      <c r="D118" s="17"/>
      <c r="E118" s="71"/>
      <c r="F118" s="43" t="s">
        <v>70</v>
      </c>
      <c r="G118" s="54">
        <f>G117</f>
        <v>10025</v>
      </c>
      <c r="H118" s="119">
        <f>H117</f>
        <v>10025</v>
      </c>
      <c r="I118" s="119"/>
      <c r="J118" s="119"/>
      <c r="K118" s="119"/>
      <c r="L118" s="119"/>
      <c r="M118" s="119"/>
      <c r="N118" s="54"/>
      <c r="O118" s="56"/>
      <c r="P118" s="56"/>
      <c r="Q118" s="56"/>
      <c r="R118" s="56"/>
      <c r="S118" s="56"/>
      <c r="T118" s="56"/>
      <c r="U118" s="56"/>
      <c r="V118" s="56"/>
      <c r="W118" s="54">
        <f t="shared" si="25"/>
        <v>10025</v>
      </c>
    </row>
    <row r="119" spans="1:23" s="42" customFormat="1" ht="45">
      <c r="A119" s="48"/>
      <c r="B119" s="11"/>
      <c r="C119" s="11">
        <v>1513025</v>
      </c>
      <c r="D119" s="71" t="s">
        <v>77</v>
      </c>
      <c r="E119" s="71">
        <v>1070</v>
      </c>
      <c r="F119" s="43" t="s">
        <v>214</v>
      </c>
      <c r="G119" s="54">
        <f aca="true" t="shared" si="28" ref="G119:G164">H119+M119</f>
        <v>2775</v>
      </c>
      <c r="H119" s="119">
        <v>2775</v>
      </c>
      <c r="I119" s="119"/>
      <c r="J119" s="119"/>
      <c r="K119" s="119"/>
      <c r="L119" s="119"/>
      <c r="M119" s="119"/>
      <c r="N119" s="54"/>
      <c r="O119" s="56"/>
      <c r="P119" s="56"/>
      <c r="Q119" s="56"/>
      <c r="R119" s="56"/>
      <c r="S119" s="56"/>
      <c r="T119" s="56"/>
      <c r="U119" s="56"/>
      <c r="V119" s="56"/>
      <c r="W119" s="54">
        <f t="shared" si="25"/>
        <v>2775</v>
      </c>
    </row>
    <row r="120" spans="1:23" s="42" customFormat="1" ht="30">
      <c r="A120" s="48"/>
      <c r="B120" s="11"/>
      <c r="C120" s="11"/>
      <c r="D120" s="71"/>
      <c r="E120" s="71"/>
      <c r="F120" s="43" t="s">
        <v>70</v>
      </c>
      <c r="G120" s="54">
        <f t="shared" si="28"/>
        <v>2775</v>
      </c>
      <c r="H120" s="56">
        <f>H119</f>
        <v>2775</v>
      </c>
      <c r="I120" s="56"/>
      <c r="J120" s="56"/>
      <c r="K120" s="56"/>
      <c r="L120" s="56"/>
      <c r="M120" s="56"/>
      <c r="N120" s="54"/>
      <c r="O120" s="56"/>
      <c r="P120" s="56"/>
      <c r="Q120" s="56"/>
      <c r="R120" s="56"/>
      <c r="S120" s="56"/>
      <c r="T120" s="56"/>
      <c r="U120" s="56"/>
      <c r="V120" s="56"/>
      <c r="W120" s="54">
        <f t="shared" si="25"/>
        <v>2775</v>
      </c>
    </row>
    <row r="121" spans="1:23" s="42" customFormat="1" ht="60">
      <c r="A121" s="48"/>
      <c r="B121" s="11"/>
      <c r="C121" s="11">
        <v>1513026</v>
      </c>
      <c r="D121" s="71" t="s">
        <v>87</v>
      </c>
      <c r="E121" s="71">
        <v>1060</v>
      </c>
      <c r="F121" s="43" t="s">
        <v>224</v>
      </c>
      <c r="G121" s="54">
        <f t="shared" si="28"/>
        <v>12000</v>
      </c>
      <c r="H121" s="56">
        <v>12000</v>
      </c>
      <c r="I121" s="56"/>
      <c r="J121" s="56"/>
      <c r="K121" s="56"/>
      <c r="L121" s="56"/>
      <c r="M121" s="56"/>
      <c r="N121" s="54"/>
      <c r="O121" s="56"/>
      <c r="P121" s="56"/>
      <c r="Q121" s="56"/>
      <c r="R121" s="56"/>
      <c r="S121" s="56"/>
      <c r="T121" s="56"/>
      <c r="U121" s="56"/>
      <c r="V121" s="56"/>
      <c r="W121" s="54">
        <f t="shared" si="25"/>
        <v>12000</v>
      </c>
    </row>
    <row r="122" spans="1:23" s="42" customFormat="1" ht="30">
      <c r="A122" s="48"/>
      <c r="B122" s="11"/>
      <c r="C122" s="11"/>
      <c r="D122" s="71"/>
      <c r="E122" s="73"/>
      <c r="F122" s="43" t="s">
        <v>70</v>
      </c>
      <c r="G122" s="54">
        <f t="shared" si="28"/>
        <v>12000</v>
      </c>
      <c r="H122" s="56">
        <f>H121</f>
        <v>12000</v>
      </c>
      <c r="I122" s="56"/>
      <c r="J122" s="56"/>
      <c r="K122" s="56"/>
      <c r="L122" s="56"/>
      <c r="M122" s="56"/>
      <c r="N122" s="54"/>
      <c r="O122" s="56"/>
      <c r="P122" s="56"/>
      <c r="Q122" s="56"/>
      <c r="R122" s="56"/>
      <c r="S122" s="56"/>
      <c r="T122" s="56"/>
      <c r="U122" s="56"/>
      <c r="V122" s="56"/>
      <c r="W122" s="54">
        <f t="shared" si="25"/>
        <v>12000</v>
      </c>
    </row>
    <row r="123" spans="1:23" s="42" customFormat="1" ht="90">
      <c r="A123" s="48"/>
      <c r="B123" s="11"/>
      <c r="C123" s="11">
        <v>1513028</v>
      </c>
      <c r="D123" s="71" t="s">
        <v>93</v>
      </c>
      <c r="E123" s="71">
        <v>1060</v>
      </c>
      <c r="F123" s="43" t="s">
        <v>94</v>
      </c>
      <c r="G123" s="54">
        <f t="shared" si="28"/>
        <v>10200</v>
      </c>
      <c r="H123" s="56">
        <v>10200</v>
      </c>
      <c r="I123" s="56"/>
      <c r="J123" s="56"/>
      <c r="K123" s="56"/>
      <c r="L123" s="56"/>
      <c r="M123" s="56"/>
      <c r="N123" s="54"/>
      <c r="O123" s="56"/>
      <c r="P123" s="56"/>
      <c r="Q123" s="56"/>
      <c r="R123" s="56"/>
      <c r="S123" s="56"/>
      <c r="T123" s="56"/>
      <c r="U123" s="56"/>
      <c r="V123" s="56"/>
      <c r="W123" s="54">
        <f t="shared" si="25"/>
        <v>10200</v>
      </c>
    </row>
    <row r="124" spans="1:23" s="42" customFormat="1" ht="32.25" customHeight="1">
      <c r="A124" s="48"/>
      <c r="B124" s="11"/>
      <c r="C124" s="11"/>
      <c r="D124" s="71"/>
      <c r="E124" s="72"/>
      <c r="F124" s="43" t="s">
        <v>70</v>
      </c>
      <c r="G124" s="54">
        <f t="shared" si="28"/>
        <v>10200</v>
      </c>
      <c r="H124" s="56">
        <f>H123</f>
        <v>10200</v>
      </c>
      <c r="I124" s="56"/>
      <c r="J124" s="56"/>
      <c r="K124" s="56"/>
      <c r="L124" s="56"/>
      <c r="M124" s="56"/>
      <c r="N124" s="54"/>
      <c r="O124" s="56"/>
      <c r="P124" s="56"/>
      <c r="Q124" s="56"/>
      <c r="R124" s="56"/>
      <c r="S124" s="56"/>
      <c r="T124" s="56"/>
      <c r="U124" s="56"/>
      <c r="V124" s="56"/>
      <c r="W124" s="54">
        <f t="shared" si="25"/>
        <v>10200</v>
      </c>
    </row>
    <row r="125" spans="1:23" s="42" customFormat="1" ht="273" customHeight="1">
      <c r="A125" s="48"/>
      <c r="B125" s="11"/>
      <c r="C125" s="11">
        <v>1513031</v>
      </c>
      <c r="D125" s="71" t="s">
        <v>360</v>
      </c>
      <c r="E125" s="72"/>
      <c r="F125" s="43" t="s">
        <v>361</v>
      </c>
      <c r="G125" s="54">
        <f t="shared" si="28"/>
        <v>420000</v>
      </c>
      <c r="H125" s="56">
        <v>420000</v>
      </c>
      <c r="I125" s="56"/>
      <c r="J125" s="56"/>
      <c r="K125" s="56"/>
      <c r="L125" s="56"/>
      <c r="M125" s="56"/>
      <c r="N125" s="54"/>
      <c r="O125" s="56"/>
      <c r="P125" s="56"/>
      <c r="Q125" s="56"/>
      <c r="R125" s="56"/>
      <c r="S125" s="56"/>
      <c r="T125" s="56"/>
      <c r="U125" s="56"/>
      <c r="V125" s="56"/>
      <c r="W125" s="54">
        <f t="shared" si="25"/>
        <v>420000</v>
      </c>
    </row>
    <row r="126" spans="1:23" s="42" customFormat="1" ht="32.25" customHeight="1">
      <c r="A126" s="48"/>
      <c r="B126" s="11"/>
      <c r="C126" s="11"/>
      <c r="D126" s="71"/>
      <c r="E126" s="72"/>
      <c r="F126" s="43" t="s">
        <v>70</v>
      </c>
      <c r="G126" s="54">
        <f>G125</f>
        <v>420000</v>
      </c>
      <c r="H126" s="56">
        <f>H125</f>
        <v>420000</v>
      </c>
      <c r="I126" s="56"/>
      <c r="J126" s="56"/>
      <c r="K126" s="56"/>
      <c r="L126" s="56"/>
      <c r="M126" s="56"/>
      <c r="N126" s="54"/>
      <c r="O126" s="56"/>
      <c r="P126" s="56"/>
      <c r="Q126" s="56"/>
      <c r="R126" s="56"/>
      <c r="S126" s="56"/>
      <c r="T126" s="56"/>
      <c r="U126" s="56"/>
      <c r="V126" s="56"/>
      <c r="W126" s="54">
        <f t="shared" si="25"/>
        <v>420000</v>
      </c>
    </row>
    <row r="127" spans="1:23" s="42" customFormat="1" ht="107.25" customHeight="1">
      <c r="A127" s="48"/>
      <c r="B127" s="11"/>
      <c r="C127" s="11">
        <v>1513033</v>
      </c>
      <c r="D127" s="71" t="s">
        <v>362</v>
      </c>
      <c r="E127" s="72"/>
      <c r="F127" s="43" t="s">
        <v>363</v>
      </c>
      <c r="G127" s="54">
        <f t="shared" si="28"/>
        <v>100000</v>
      </c>
      <c r="H127" s="56">
        <v>100000</v>
      </c>
      <c r="I127" s="56"/>
      <c r="J127" s="56"/>
      <c r="K127" s="56"/>
      <c r="L127" s="56"/>
      <c r="M127" s="56"/>
      <c r="N127" s="54"/>
      <c r="O127" s="56"/>
      <c r="P127" s="56"/>
      <c r="Q127" s="56"/>
      <c r="R127" s="56"/>
      <c r="S127" s="56"/>
      <c r="T127" s="56"/>
      <c r="U127" s="56"/>
      <c r="V127" s="56"/>
      <c r="W127" s="54">
        <f t="shared" si="25"/>
        <v>100000</v>
      </c>
    </row>
    <row r="128" spans="1:23" s="42" customFormat="1" ht="32.25" customHeight="1">
      <c r="A128" s="48"/>
      <c r="B128" s="11"/>
      <c r="C128" s="11"/>
      <c r="D128" s="71"/>
      <c r="E128" s="72"/>
      <c r="F128" s="43" t="s">
        <v>70</v>
      </c>
      <c r="G128" s="54">
        <f>G127</f>
        <v>100000</v>
      </c>
      <c r="H128" s="56">
        <f>H127</f>
        <v>100000</v>
      </c>
      <c r="I128" s="56"/>
      <c r="J128" s="56"/>
      <c r="K128" s="56"/>
      <c r="L128" s="56"/>
      <c r="M128" s="56"/>
      <c r="N128" s="54"/>
      <c r="O128" s="56"/>
      <c r="P128" s="56"/>
      <c r="Q128" s="56"/>
      <c r="R128" s="56"/>
      <c r="S128" s="56"/>
      <c r="T128" s="56"/>
      <c r="U128" s="56"/>
      <c r="V128" s="56"/>
      <c r="W128" s="54">
        <f t="shared" si="25"/>
        <v>100000</v>
      </c>
    </row>
    <row r="129" spans="1:23" s="42" customFormat="1" ht="32.25" customHeight="1">
      <c r="A129" s="48"/>
      <c r="B129" s="11"/>
      <c r="C129" s="11">
        <v>1513034</v>
      </c>
      <c r="D129" s="71" t="s">
        <v>364</v>
      </c>
      <c r="E129" s="72"/>
      <c r="F129" s="43" t="s">
        <v>365</v>
      </c>
      <c r="G129" s="54">
        <f t="shared" si="28"/>
        <v>2485200</v>
      </c>
      <c r="H129" s="56">
        <v>2485200</v>
      </c>
      <c r="I129" s="56"/>
      <c r="J129" s="56"/>
      <c r="K129" s="56"/>
      <c r="L129" s="56"/>
      <c r="M129" s="56"/>
      <c r="N129" s="54"/>
      <c r="O129" s="56"/>
      <c r="P129" s="56"/>
      <c r="Q129" s="56"/>
      <c r="R129" s="56"/>
      <c r="S129" s="56"/>
      <c r="T129" s="56"/>
      <c r="U129" s="56"/>
      <c r="V129" s="56"/>
      <c r="W129" s="54">
        <f t="shared" si="25"/>
        <v>2485200</v>
      </c>
    </row>
    <row r="130" spans="1:23" s="42" customFormat="1" ht="32.25" customHeight="1">
      <c r="A130" s="48"/>
      <c r="B130" s="11"/>
      <c r="C130" s="11"/>
      <c r="D130" s="71"/>
      <c r="E130" s="72"/>
      <c r="F130" s="43" t="s">
        <v>70</v>
      </c>
      <c r="G130" s="54">
        <f t="shared" si="28"/>
        <v>2485200</v>
      </c>
      <c r="H130" s="56">
        <f>H129</f>
        <v>2485200</v>
      </c>
      <c r="I130" s="56"/>
      <c r="J130" s="56"/>
      <c r="K130" s="56"/>
      <c r="L130" s="56"/>
      <c r="M130" s="56"/>
      <c r="N130" s="54"/>
      <c r="O130" s="56"/>
      <c r="P130" s="56"/>
      <c r="Q130" s="56"/>
      <c r="R130" s="56"/>
      <c r="S130" s="56"/>
      <c r="T130" s="56"/>
      <c r="U130" s="56"/>
      <c r="V130" s="56"/>
      <c r="W130" s="54">
        <f t="shared" si="25"/>
        <v>2485200</v>
      </c>
    </row>
    <row r="131" spans="1:23" s="42" customFormat="1" ht="30">
      <c r="A131" s="48"/>
      <c r="B131" s="11"/>
      <c r="C131" s="11">
        <v>1513041</v>
      </c>
      <c r="D131" s="71" t="s">
        <v>78</v>
      </c>
      <c r="E131" s="71" t="s">
        <v>465</v>
      </c>
      <c r="F131" s="43" t="s">
        <v>215</v>
      </c>
      <c r="G131" s="54">
        <f t="shared" si="28"/>
        <v>2880000</v>
      </c>
      <c r="H131" s="56">
        <v>2880000</v>
      </c>
      <c r="I131" s="56"/>
      <c r="J131" s="56"/>
      <c r="K131" s="56"/>
      <c r="L131" s="56"/>
      <c r="M131" s="56"/>
      <c r="N131" s="54"/>
      <c r="O131" s="56"/>
      <c r="P131" s="56"/>
      <c r="Q131" s="56"/>
      <c r="R131" s="56"/>
      <c r="S131" s="56"/>
      <c r="T131" s="56"/>
      <c r="U131" s="56"/>
      <c r="V131" s="56"/>
      <c r="W131" s="54">
        <f t="shared" si="25"/>
        <v>2880000</v>
      </c>
    </row>
    <row r="132" spans="1:23" s="42" customFormat="1" ht="30.75" customHeight="1">
      <c r="A132" s="48"/>
      <c r="B132" s="11"/>
      <c r="C132" s="11"/>
      <c r="D132" s="71"/>
      <c r="E132" s="71"/>
      <c r="F132" s="43" t="s">
        <v>70</v>
      </c>
      <c r="G132" s="54">
        <f t="shared" si="28"/>
        <v>2880000</v>
      </c>
      <c r="H132" s="56">
        <f>H131</f>
        <v>2880000</v>
      </c>
      <c r="I132" s="56"/>
      <c r="J132" s="56"/>
      <c r="K132" s="56"/>
      <c r="L132" s="56"/>
      <c r="M132" s="56"/>
      <c r="N132" s="54"/>
      <c r="O132" s="56"/>
      <c r="P132" s="56"/>
      <c r="Q132" s="56"/>
      <c r="R132" s="56"/>
      <c r="S132" s="56"/>
      <c r="T132" s="56"/>
      <c r="U132" s="56"/>
      <c r="V132" s="56"/>
      <c r="W132" s="54">
        <f t="shared" si="25"/>
        <v>2880000</v>
      </c>
    </row>
    <row r="133" spans="1:23" s="42" customFormat="1" ht="30">
      <c r="A133" s="48"/>
      <c r="B133" s="11"/>
      <c r="C133" s="11">
        <v>1513042</v>
      </c>
      <c r="D133" s="71" t="s">
        <v>79</v>
      </c>
      <c r="E133" s="71" t="s">
        <v>465</v>
      </c>
      <c r="F133" s="43" t="s">
        <v>216</v>
      </c>
      <c r="G133" s="54">
        <f t="shared" si="28"/>
        <v>2652000</v>
      </c>
      <c r="H133" s="56">
        <v>2652000</v>
      </c>
      <c r="I133" s="56"/>
      <c r="J133" s="56"/>
      <c r="K133" s="56"/>
      <c r="L133" s="56"/>
      <c r="M133" s="56"/>
      <c r="N133" s="54"/>
      <c r="O133" s="56"/>
      <c r="P133" s="56"/>
      <c r="Q133" s="56"/>
      <c r="R133" s="56"/>
      <c r="S133" s="56"/>
      <c r="T133" s="56"/>
      <c r="U133" s="56"/>
      <c r="V133" s="56"/>
      <c r="W133" s="54">
        <f t="shared" si="25"/>
        <v>2652000</v>
      </c>
    </row>
    <row r="134" spans="1:23" s="42" customFormat="1" ht="30">
      <c r="A134" s="48"/>
      <c r="B134" s="11"/>
      <c r="C134" s="11"/>
      <c r="D134" s="71"/>
      <c r="E134" s="73"/>
      <c r="F134" s="43" t="s">
        <v>70</v>
      </c>
      <c r="G134" s="54">
        <f t="shared" si="28"/>
        <v>2652000</v>
      </c>
      <c r="H134" s="56">
        <f>H133</f>
        <v>2652000</v>
      </c>
      <c r="I134" s="56"/>
      <c r="J134" s="56"/>
      <c r="K134" s="56"/>
      <c r="L134" s="56"/>
      <c r="M134" s="56"/>
      <c r="N134" s="54"/>
      <c r="O134" s="56"/>
      <c r="P134" s="56"/>
      <c r="Q134" s="56"/>
      <c r="R134" s="56"/>
      <c r="S134" s="56"/>
      <c r="T134" s="56"/>
      <c r="U134" s="56"/>
      <c r="V134" s="56"/>
      <c r="W134" s="54">
        <f t="shared" si="25"/>
        <v>2652000</v>
      </c>
    </row>
    <row r="135" spans="1:23" s="42" customFormat="1" ht="30">
      <c r="A135" s="48"/>
      <c r="B135" s="11"/>
      <c r="C135" s="11">
        <v>1513043</v>
      </c>
      <c r="D135" s="71" t="s">
        <v>80</v>
      </c>
      <c r="E135" s="71" t="s">
        <v>465</v>
      </c>
      <c r="F135" s="43" t="s">
        <v>217</v>
      </c>
      <c r="G135" s="54">
        <f t="shared" si="28"/>
        <v>123166800</v>
      </c>
      <c r="H135" s="56">
        <v>123166800</v>
      </c>
      <c r="I135" s="56"/>
      <c r="J135" s="56"/>
      <c r="K135" s="56"/>
      <c r="L135" s="56"/>
      <c r="M135" s="56"/>
      <c r="N135" s="54"/>
      <c r="O135" s="56"/>
      <c r="P135" s="56"/>
      <c r="Q135" s="56"/>
      <c r="R135" s="56"/>
      <c r="S135" s="56"/>
      <c r="T135" s="56"/>
      <c r="U135" s="56"/>
      <c r="V135" s="56"/>
      <c r="W135" s="54">
        <f t="shared" si="25"/>
        <v>123166800</v>
      </c>
    </row>
    <row r="136" spans="1:23" s="42" customFormat="1" ht="30">
      <c r="A136" s="48"/>
      <c r="B136" s="11"/>
      <c r="C136" s="11"/>
      <c r="D136" s="71"/>
      <c r="E136" s="73"/>
      <c r="F136" s="43" t="s">
        <v>70</v>
      </c>
      <c r="G136" s="54">
        <f t="shared" si="28"/>
        <v>123166800</v>
      </c>
      <c r="H136" s="56">
        <f>H135</f>
        <v>123166800</v>
      </c>
      <c r="I136" s="56"/>
      <c r="J136" s="56"/>
      <c r="K136" s="56"/>
      <c r="L136" s="56"/>
      <c r="M136" s="56"/>
      <c r="N136" s="54"/>
      <c r="O136" s="56"/>
      <c r="P136" s="56"/>
      <c r="Q136" s="56"/>
      <c r="R136" s="56"/>
      <c r="S136" s="56"/>
      <c r="T136" s="56"/>
      <c r="U136" s="56"/>
      <c r="V136" s="56"/>
      <c r="W136" s="54">
        <f t="shared" si="25"/>
        <v>123166800</v>
      </c>
    </row>
    <row r="137" spans="1:23" s="42" customFormat="1" ht="35.25" customHeight="1">
      <c r="A137" s="48"/>
      <c r="B137" s="11"/>
      <c r="C137" s="11">
        <v>1513044</v>
      </c>
      <c r="D137" s="71" t="s">
        <v>81</v>
      </c>
      <c r="E137" s="71" t="s">
        <v>465</v>
      </c>
      <c r="F137" s="43" t="s">
        <v>218</v>
      </c>
      <c r="G137" s="54">
        <f t="shared" si="28"/>
        <v>6117400</v>
      </c>
      <c r="H137" s="56">
        <v>6117400</v>
      </c>
      <c r="I137" s="56"/>
      <c r="J137" s="56"/>
      <c r="K137" s="56"/>
      <c r="L137" s="56"/>
      <c r="M137" s="56"/>
      <c r="N137" s="54"/>
      <c r="O137" s="56"/>
      <c r="P137" s="56"/>
      <c r="Q137" s="56"/>
      <c r="R137" s="56"/>
      <c r="S137" s="56"/>
      <c r="T137" s="56"/>
      <c r="U137" s="56"/>
      <c r="V137" s="56"/>
      <c r="W137" s="54">
        <f aca="true" t="shared" si="29" ref="W137:W164">G137+N137</f>
        <v>6117400</v>
      </c>
    </row>
    <row r="138" spans="1:23" s="42" customFormat="1" ht="30">
      <c r="A138" s="48"/>
      <c r="B138" s="11"/>
      <c r="C138" s="11"/>
      <c r="D138" s="71"/>
      <c r="E138" s="73"/>
      <c r="F138" s="43" t="s">
        <v>70</v>
      </c>
      <c r="G138" s="54">
        <f t="shared" si="28"/>
        <v>6117400</v>
      </c>
      <c r="H138" s="56">
        <f>H137</f>
        <v>6117400</v>
      </c>
      <c r="I138" s="56"/>
      <c r="J138" s="56"/>
      <c r="K138" s="56"/>
      <c r="L138" s="56"/>
      <c r="M138" s="56"/>
      <c r="N138" s="54"/>
      <c r="O138" s="56"/>
      <c r="P138" s="56"/>
      <c r="Q138" s="56"/>
      <c r="R138" s="56"/>
      <c r="S138" s="56"/>
      <c r="T138" s="56"/>
      <c r="U138" s="56"/>
      <c r="V138" s="56"/>
      <c r="W138" s="54">
        <f t="shared" si="29"/>
        <v>6117400</v>
      </c>
    </row>
    <row r="139" spans="1:23" s="42" customFormat="1" ht="30">
      <c r="A139" s="48"/>
      <c r="B139" s="11"/>
      <c r="C139" s="11">
        <v>1513045</v>
      </c>
      <c r="D139" s="71" t="s">
        <v>82</v>
      </c>
      <c r="E139" s="73"/>
      <c r="F139" s="43" t="s">
        <v>219</v>
      </c>
      <c r="G139" s="54">
        <f t="shared" si="28"/>
        <v>24208200</v>
      </c>
      <c r="H139" s="56">
        <v>24208200</v>
      </c>
      <c r="I139" s="56"/>
      <c r="J139" s="56"/>
      <c r="K139" s="56"/>
      <c r="L139" s="56"/>
      <c r="M139" s="56"/>
      <c r="N139" s="54"/>
      <c r="O139" s="56"/>
      <c r="P139" s="56"/>
      <c r="Q139" s="56"/>
      <c r="R139" s="56"/>
      <c r="S139" s="56"/>
      <c r="T139" s="56"/>
      <c r="U139" s="56"/>
      <c r="V139" s="56"/>
      <c r="W139" s="54">
        <f t="shared" si="29"/>
        <v>24208200</v>
      </c>
    </row>
    <row r="140" spans="1:23" s="42" customFormat="1" ht="30.75" customHeight="1">
      <c r="A140" s="48"/>
      <c r="B140" s="11"/>
      <c r="C140" s="11"/>
      <c r="D140" s="71"/>
      <c r="E140" s="73"/>
      <c r="F140" s="43" t="s">
        <v>70</v>
      </c>
      <c r="G140" s="54">
        <f t="shared" si="28"/>
        <v>24208200</v>
      </c>
      <c r="H140" s="56">
        <f>H139</f>
        <v>24208200</v>
      </c>
      <c r="I140" s="56"/>
      <c r="J140" s="56"/>
      <c r="K140" s="56"/>
      <c r="L140" s="56"/>
      <c r="M140" s="56"/>
      <c r="N140" s="54"/>
      <c r="O140" s="56"/>
      <c r="P140" s="56"/>
      <c r="Q140" s="56"/>
      <c r="R140" s="56"/>
      <c r="S140" s="56"/>
      <c r="T140" s="56"/>
      <c r="U140" s="56"/>
      <c r="V140" s="56"/>
      <c r="W140" s="54">
        <f t="shared" si="29"/>
        <v>24208200</v>
      </c>
    </row>
    <row r="141" spans="1:23" s="42" customFormat="1" ht="30">
      <c r="A141" s="48"/>
      <c r="B141" s="11"/>
      <c r="C141" s="11">
        <v>1513046</v>
      </c>
      <c r="D141" s="71" t="s">
        <v>83</v>
      </c>
      <c r="E141" s="71" t="s">
        <v>465</v>
      </c>
      <c r="F141" s="43" t="s">
        <v>220</v>
      </c>
      <c r="G141" s="54">
        <f t="shared" si="28"/>
        <v>3885900</v>
      </c>
      <c r="H141" s="56">
        <v>3885900</v>
      </c>
      <c r="I141" s="56"/>
      <c r="J141" s="56"/>
      <c r="K141" s="56"/>
      <c r="L141" s="56"/>
      <c r="M141" s="56"/>
      <c r="N141" s="54"/>
      <c r="O141" s="56"/>
      <c r="P141" s="56"/>
      <c r="Q141" s="56"/>
      <c r="R141" s="56"/>
      <c r="S141" s="56"/>
      <c r="T141" s="56"/>
      <c r="U141" s="56"/>
      <c r="V141" s="56"/>
      <c r="W141" s="54">
        <f t="shared" si="29"/>
        <v>3885900</v>
      </c>
    </row>
    <row r="142" spans="1:23" s="42" customFormat="1" ht="30">
      <c r="A142" s="48"/>
      <c r="B142" s="11"/>
      <c r="C142" s="11"/>
      <c r="D142" s="71"/>
      <c r="E142" s="73"/>
      <c r="F142" s="43" t="s">
        <v>70</v>
      </c>
      <c r="G142" s="54">
        <f t="shared" si="28"/>
        <v>3885900</v>
      </c>
      <c r="H142" s="56">
        <f>H141</f>
        <v>3885900</v>
      </c>
      <c r="I142" s="56"/>
      <c r="J142" s="56"/>
      <c r="K142" s="56"/>
      <c r="L142" s="56"/>
      <c r="M142" s="56"/>
      <c r="N142" s="54"/>
      <c r="O142" s="56"/>
      <c r="P142" s="56"/>
      <c r="Q142" s="56"/>
      <c r="R142" s="56"/>
      <c r="S142" s="56"/>
      <c r="T142" s="56"/>
      <c r="U142" s="56"/>
      <c r="V142" s="56"/>
      <c r="W142" s="54">
        <f t="shared" si="29"/>
        <v>3885900</v>
      </c>
    </row>
    <row r="143" spans="1:23" s="42" customFormat="1" ht="30">
      <c r="A143" s="48"/>
      <c r="B143" s="11"/>
      <c r="C143" s="11">
        <v>1513047</v>
      </c>
      <c r="D143" s="71" t="s">
        <v>84</v>
      </c>
      <c r="E143" s="71" t="s">
        <v>465</v>
      </c>
      <c r="F143" s="43" t="s">
        <v>221</v>
      </c>
      <c r="G143" s="54">
        <f t="shared" si="28"/>
        <v>492500</v>
      </c>
      <c r="H143" s="56">
        <v>492500</v>
      </c>
      <c r="I143" s="56"/>
      <c r="J143" s="56"/>
      <c r="K143" s="56"/>
      <c r="L143" s="56"/>
      <c r="M143" s="56"/>
      <c r="N143" s="54"/>
      <c r="O143" s="56"/>
      <c r="P143" s="56"/>
      <c r="Q143" s="56"/>
      <c r="R143" s="56"/>
      <c r="S143" s="56"/>
      <c r="T143" s="56"/>
      <c r="U143" s="56"/>
      <c r="V143" s="56"/>
      <c r="W143" s="54">
        <f t="shared" si="29"/>
        <v>492500</v>
      </c>
    </row>
    <row r="144" spans="1:23" s="42" customFormat="1" ht="30">
      <c r="A144" s="48"/>
      <c r="B144" s="11"/>
      <c r="C144" s="11"/>
      <c r="D144" s="71"/>
      <c r="E144" s="73"/>
      <c r="F144" s="43" t="s">
        <v>70</v>
      </c>
      <c r="G144" s="54">
        <f t="shared" si="28"/>
        <v>492500</v>
      </c>
      <c r="H144" s="56">
        <f>H143</f>
        <v>492500</v>
      </c>
      <c r="I144" s="56"/>
      <c r="J144" s="56"/>
      <c r="K144" s="56"/>
      <c r="L144" s="56"/>
      <c r="M144" s="56"/>
      <c r="N144" s="54"/>
      <c r="O144" s="56"/>
      <c r="P144" s="56"/>
      <c r="Q144" s="56"/>
      <c r="R144" s="56"/>
      <c r="S144" s="56"/>
      <c r="T144" s="56"/>
      <c r="U144" s="56"/>
      <c r="V144" s="56"/>
      <c r="W144" s="54">
        <f t="shared" si="29"/>
        <v>492500</v>
      </c>
    </row>
    <row r="145" spans="1:23" s="42" customFormat="1" ht="30">
      <c r="A145" s="48"/>
      <c r="B145" s="11"/>
      <c r="C145" s="11">
        <v>1513048</v>
      </c>
      <c r="D145" s="71" t="s">
        <v>85</v>
      </c>
      <c r="E145" s="71" t="s">
        <v>465</v>
      </c>
      <c r="F145" s="43" t="s">
        <v>222</v>
      </c>
      <c r="G145" s="54">
        <f t="shared" si="28"/>
        <v>24966300</v>
      </c>
      <c r="H145" s="56">
        <v>24966300</v>
      </c>
      <c r="I145" s="56"/>
      <c r="J145" s="56"/>
      <c r="K145" s="56"/>
      <c r="L145" s="56"/>
      <c r="M145" s="56"/>
      <c r="N145" s="54"/>
      <c r="O145" s="56"/>
      <c r="P145" s="56"/>
      <c r="Q145" s="56"/>
      <c r="R145" s="56"/>
      <c r="S145" s="56"/>
      <c r="T145" s="56"/>
      <c r="U145" s="56"/>
      <c r="V145" s="56"/>
      <c r="W145" s="54">
        <f t="shared" si="29"/>
        <v>24966300</v>
      </c>
    </row>
    <row r="146" spans="1:23" s="42" customFormat="1" ht="30">
      <c r="A146" s="48"/>
      <c r="B146" s="11"/>
      <c r="C146" s="11"/>
      <c r="D146" s="71"/>
      <c r="E146" s="73"/>
      <c r="F146" s="43" t="s">
        <v>70</v>
      </c>
      <c r="G146" s="54">
        <f t="shared" si="28"/>
        <v>24966300</v>
      </c>
      <c r="H146" s="56">
        <f>H145</f>
        <v>24966300</v>
      </c>
      <c r="I146" s="56"/>
      <c r="J146" s="56"/>
      <c r="K146" s="56"/>
      <c r="L146" s="56"/>
      <c r="M146" s="56"/>
      <c r="N146" s="54"/>
      <c r="O146" s="56"/>
      <c r="P146" s="56"/>
      <c r="Q146" s="56"/>
      <c r="R146" s="56"/>
      <c r="S146" s="56"/>
      <c r="T146" s="56"/>
      <c r="U146" s="56"/>
      <c r="V146" s="56"/>
      <c r="W146" s="54">
        <f t="shared" si="29"/>
        <v>24966300</v>
      </c>
    </row>
    <row r="147" spans="1:23" s="42" customFormat="1" ht="45">
      <c r="A147" s="48"/>
      <c r="B147" s="11"/>
      <c r="C147" s="11">
        <v>1513049</v>
      </c>
      <c r="D147" s="71" t="s">
        <v>377</v>
      </c>
      <c r="E147" s="71" t="s">
        <v>345</v>
      </c>
      <c r="F147" s="43" t="s">
        <v>234</v>
      </c>
      <c r="G147" s="54">
        <f t="shared" si="28"/>
        <v>37630600</v>
      </c>
      <c r="H147" s="56">
        <v>37630600</v>
      </c>
      <c r="I147" s="56"/>
      <c r="J147" s="56"/>
      <c r="K147" s="56"/>
      <c r="L147" s="56"/>
      <c r="M147" s="56"/>
      <c r="N147" s="54"/>
      <c r="O147" s="56"/>
      <c r="P147" s="56"/>
      <c r="Q147" s="56"/>
      <c r="R147" s="56"/>
      <c r="S147" s="56"/>
      <c r="T147" s="56"/>
      <c r="U147" s="56"/>
      <c r="V147" s="56"/>
      <c r="W147" s="54">
        <f t="shared" si="29"/>
        <v>37630600</v>
      </c>
    </row>
    <row r="148" spans="1:23" s="42" customFormat="1" ht="30">
      <c r="A148" s="48"/>
      <c r="B148" s="11"/>
      <c r="C148" s="11"/>
      <c r="D148" s="71"/>
      <c r="E148" s="71"/>
      <c r="F148" s="43" t="s">
        <v>70</v>
      </c>
      <c r="G148" s="54">
        <f t="shared" si="28"/>
        <v>37630600</v>
      </c>
      <c r="H148" s="56">
        <f>H147</f>
        <v>37630600</v>
      </c>
      <c r="I148" s="56"/>
      <c r="J148" s="56"/>
      <c r="K148" s="56"/>
      <c r="L148" s="56"/>
      <c r="M148" s="56"/>
      <c r="N148" s="54"/>
      <c r="O148" s="56"/>
      <c r="P148" s="56"/>
      <c r="Q148" s="56"/>
      <c r="R148" s="56"/>
      <c r="S148" s="56"/>
      <c r="T148" s="56"/>
      <c r="U148" s="56"/>
      <c r="V148" s="56"/>
      <c r="W148" s="54">
        <f t="shared" si="29"/>
        <v>37630600</v>
      </c>
    </row>
    <row r="149" spans="1:23" s="42" customFormat="1" ht="45">
      <c r="A149" s="48"/>
      <c r="B149" s="11"/>
      <c r="C149" s="11">
        <v>1513050</v>
      </c>
      <c r="D149" s="71" t="s">
        <v>74</v>
      </c>
      <c r="E149" s="71" t="s">
        <v>464</v>
      </c>
      <c r="F149" s="45" t="s">
        <v>212</v>
      </c>
      <c r="G149" s="54">
        <f t="shared" si="28"/>
        <v>1241650</v>
      </c>
      <c r="H149" s="56">
        <f>371545+870105</f>
        <v>1241650</v>
      </c>
      <c r="I149" s="56"/>
      <c r="J149" s="56"/>
      <c r="K149" s="56"/>
      <c r="L149" s="56"/>
      <c r="M149" s="56"/>
      <c r="N149" s="54"/>
      <c r="O149" s="56"/>
      <c r="P149" s="56"/>
      <c r="Q149" s="56"/>
      <c r="R149" s="56"/>
      <c r="S149" s="56"/>
      <c r="T149" s="56"/>
      <c r="U149" s="56"/>
      <c r="V149" s="56"/>
      <c r="W149" s="54">
        <f t="shared" si="29"/>
        <v>1241650</v>
      </c>
    </row>
    <row r="150" spans="1:23" s="42" customFormat="1" ht="30">
      <c r="A150" s="48"/>
      <c r="B150" s="11"/>
      <c r="C150" s="11"/>
      <c r="D150" s="71"/>
      <c r="E150" s="71"/>
      <c r="F150" s="43" t="s">
        <v>75</v>
      </c>
      <c r="G150" s="54">
        <f t="shared" si="28"/>
        <v>870105</v>
      </c>
      <c r="H150" s="56">
        <v>870105</v>
      </c>
      <c r="I150" s="56"/>
      <c r="J150" s="56"/>
      <c r="K150" s="56"/>
      <c r="L150" s="56"/>
      <c r="M150" s="56"/>
      <c r="N150" s="54"/>
      <c r="O150" s="56"/>
      <c r="P150" s="56"/>
      <c r="Q150" s="56"/>
      <c r="R150" s="56"/>
      <c r="S150" s="56"/>
      <c r="T150" s="56"/>
      <c r="U150" s="56"/>
      <c r="V150" s="56"/>
      <c r="W150" s="54">
        <f t="shared" si="29"/>
        <v>870105</v>
      </c>
    </row>
    <row r="151" spans="1:23" s="42" customFormat="1" ht="45">
      <c r="A151" s="48"/>
      <c r="B151" s="11"/>
      <c r="C151" s="11">
        <v>1513080</v>
      </c>
      <c r="D151" s="71" t="s">
        <v>92</v>
      </c>
      <c r="E151" s="71" t="s">
        <v>345</v>
      </c>
      <c r="F151" s="43" t="s">
        <v>228</v>
      </c>
      <c r="G151" s="54">
        <f t="shared" si="28"/>
        <v>7390300</v>
      </c>
      <c r="H151" s="56">
        <v>7390300</v>
      </c>
      <c r="I151" s="56"/>
      <c r="J151" s="56"/>
      <c r="K151" s="56"/>
      <c r="L151" s="56"/>
      <c r="M151" s="56"/>
      <c r="N151" s="54"/>
      <c r="O151" s="56"/>
      <c r="P151" s="56"/>
      <c r="Q151" s="56"/>
      <c r="R151" s="56"/>
      <c r="S151" s="56"/>
      <c r="T151" s="56"/>
      <c r="U151" s="56"/>
      <c r="V151" s="56"/>
      <c r="W151" s="54">
        <f t="shared" si="29"/>
        <v>7390300</v>
      </c>
    </row>
    <row r="152" spans="1:23" s="42" customFormat="1" ht="35.25" customHeight="1">
      <c r="A152" s="48"/>
      <c r="B152" s="11"/>
      <c r="C152" s="11"/>
      <c r="D152" s="71"/>
      <c r="E152" s="72"/>
      <c r="F152" s="43" t="s">
        <v>70</v>
      </c>
      <c r="G152" s="54">
        <f t="shared" si="28"/>
        <v>7390300</v>
      </c>
      <c r="H152" s="56">
        <f>H151</f>
        <v>7390300</v>
      </c>
      <c r="I152" s="56"/>
      <c r="J152" s="56"/>
      <c r="K152" s="56"/>
      <c r="L152" s="56"/>
      <c r="M152" s="56"/>
      <c r="N152" s="54"/>
      <c r="O152" s="56"/>
      <c r="P152" s="56"/>
      <c r="Q152" s="56"/>
      <c r="R152" s="56"/>
      <c r="S152" s="56"/>
      <c r="T152" s="56"/>
      <c r="U152" s="56"/>
      <c r="V152" s="56"/>
      <c r="W152" s="54">
        <f t="shared" si="29"/>
        <v>7390300</v>
      </c>
    </row>
    <row r="153" spans="1:23" s="42" customFormat="1" ht="30">
      <c r="A153" s="48"/>
      <c r="B153" s="11"/>
      <c r="C153" s="11">
        <v>1513090</v>
      </c>
      <c r="D153" s="71" t="s">
        <v>95</v>
      </c>
      <c r="E153" s="71" t="s">
        <v>463</v>
      </c>
      <c r="F153" s="43" t="s">
        <v>229</v>
      </c>
      <c r="G153" s="54">
        <f t="shared" si="28"/>
        <v>296316</v>
      </c>
      <c r="H153" s="56">
        <v>296316</v>
      </c>
      <c r="I153" s="56"/>
      <c r="J153" s="56"/>
      <c r="K153" s="56"/>
      <c r="L153" s="56"/>
      <c r="M153" s="56"/>
      <c r="N153" s="54"/>
      <c r="O153" s="56"/>
      <c r="P153" s="56"/>
      <c r="Q153" s="56"/>
      <c r="R153" s="56"/>
      <c r="S153" s="56"/>
      <c r="T153" s="56"/>
      <c r="U153" s="56"/>
      <c r="V153" s="56"/>
      <c r="W153" s="54">
        <f t="shared" si="29"/>
        <v>296316</v>
      </c>
    </row>
    <row r="154" spans="1:23" s="42" customFormat="1" ht="30">
      <c r="A154" s="48"/>
      <c r="B154" s="11"/>
      <c r="C154" s="11"/>
      <c r="D154" s="71"/>
      <c r="E154" s="72"/>
      <c r="F154" s="43" t="s">
        <v>75</v>
      </c>
      <c r="G154" s="54">
        <f t="shared" si="28"/>
        <v>296316</v>
      </c>
      <c r="H154" s="56">
        <f>H153</f>
        <v>296316</v>
      </c>
      <c r="I154" s="56"/>
      <c r="J154" s="56"/>
      <c r="K154" s="56"/>
      <c r="L154" s="56"/>
      <c r="M154" s="56"/>
      <c r="N154" s="54"/>
      <c r="O154" s="56"/>
      <c r="P154" s="56"/>
      <c r="Q154" s="56"/>
      <c r="R154" s="56"/>
      <c r="S154" s="56"/>
      <c r="T154" s="56"/>
      <c r="U154" s="56"/>
      <c r="V154" s="56"/>
      <c r="W154" s="54">
        <f t="shared" si="29"/>
        <v>296316</v>
      </c>
    </row>
    <row r="155" spans="1:23" s="42" customFormat="1" ht="75">
      <c r="A155" s="48"/>
      <c r="B155" s="11"/>
      <c r="C155" s="11">
        <v>1513104</v>
      </c>
      <c r="D155" s="74" t="s">
        <v>96</v>
      </c>
      <c r="E155" s="71" t="s">
        <v>346</v>
      </c>
      <c r="F155" s="75" t="s">
        <v>230</v>
      </c>
      <c r="G155" s="54">
        <f t="shared" si="28"/>
        <v>6659300</v>
      </c>
      <c r="H155" s="56">
        <v>6659300</v>
      </c>
      <c r="I155" s="56">
        <v>5755900</v>
      </c>
      <c r="J155" s="56">
        <v>1150</v>
      </c>
      <c r="K155" s="56">
        <v>60240</v>
      </c>
      <c r="L155" s="56">
        <v>538335</v>
      </c>
      <c r="M155" s="56"/>
      <c r="N155" s="54">
        <f>O155+T155</f>
        <v>275102.4</v>
      </c>
      <c r="O155" s="56">
        <v>189419</v>
      </c>
      <c r="P155" s="56">
        <v>22309</v>
      </c>
      <c r="Q155" s="56"/>
      <c r="R155" s="56">
        <v>71130</v>
      </c>
      <c r="S155" s="56">
        <v>21884</v>
      </c>
      <c r="T155" s="56">
        <v>85683.4</v>
      </c>
      <c r="U155" s="56">
        <v>85683.4</v>
      </c>
      <c r="V155" s="56"/>
      <c r="W155" s="54">
        <f t="shared" si="29"/>
        <v>6934402.4</v>
      </c>
    </row>
    <row r="156" spans="1:23" s="42" customFormat="1" ht="93.75" customHeight="1">
      <c r="A156" s="48"/>
      <c r="B156" s="11"/>
      <c r="C156" s="11">
        <v>1513181</v>
      </c>
      <c r="D156" s="71" t="s">
        <v>97</v>
      </c>
      <c r="E156" s="71" t="s">
        <v>345</v>
      </c>
      <c r="F156" s="43" t="s">
        <v>231</v>
      </c>
      <c r="G156" s="54">
        <f t="shared" si="28"/>
        <v>1423900</v>
      </c>
      <c r="H156" s="56">
        <v>1423900</v>
      </c>
      <c r="I156" s="56"/>
      <c r="J156" s="56"/>
      <c r="K156" s="56"/>
      <c r="L156" s="56"/>
      <c r="M156" s="56"/>
      <c r="N156" s="54"/>
      <c r="O156" s="56"/>
      <c r="P156" s="56"/>
      <c r="Q156" s="56"/>
      <c r="R156" s="56"/>
      <c r="S156" s="56"/>
      <c r="T156" s="56"/>
      <c r="U156" s="56"/>
      <c r="V156" s="56"/>
      <c r="W156" s="54">
        <f t="shared" si="29"/>
        <v>1423900</v>
      </c>
    </row>
    <row r="157" spans="1:23" s="42" customFormat="1" ht="75">
      <c r="A157" s="48"/>
      <c r="B157" s="11"/>
      <c r="C157" s="11">
        <v>1513182</v>
      </c>
      <c r="D157" s="71" t="s">
        <v>378</v>
      </c>
      <c r="E157" s="71" t="s">
        <v>345</v>
      </c>
      <c r="F157" s="43" t="s">
        <v>235</v>
      </c>
      <c r="G157" s="54">
        <f t="shared" si="28"/>
        <v>332271</v>
      </c>
      <c r="H157" s="56">
        <v>332271</v>
      </c>
      <c r="I157" s="56"/>
      <c r="J157" s="56"/>
      <c r="K157" s="56"/>
      <c r="L157" s="56"/>
      <c r="M157" s="56"/>
      <c r="N157" s="54"/>
      <c r="O157" s="56"/>
      <c r="P157" s="56"/>
      <c r="Q157" s="56"/>
      <c r="R157" s="56"/>
      <c r="S157" s="56"/>
      <c r="T157" s="56"/>
      <c r="U157" s="56"/>
      <c r="V157" s="56"/>
      <c r="W157" s="54">
        <f t="shared" si="29"/>
        <v>332271</v>
      </c>
    </row>
    <row r="158" spans="1:23" s="42" customFormat="1" ht="30">
      <c r="A158" s="48"/>
      <c r="B158" s="11"/>
      <c r="C158" s="11"/>
      <c r="D158" s="71"/>
      <c r="E158" s="71"/>
      <c r="F158" s="43" t="s">
        <v>75</v>
      </c>
      <c r="G158" s="54">
        <f t="shared" si="28"/>
        <v>332271</v>
      </c>
      <c r="H158" s="56">
        <f>H157</f>
        <v>332271</v>
      </c>
      <c r="I158" s="56"/>
      <c r="J158" s="56"/>
      <c r="K158" s="56"/>
      <c r="L158" s="56"/>
      <c r="M158" s="56"/>
      <c r="N158" s="54"/>
      <c r="O158" s="56"/>
      <c r="P158" s="56"/>
      <c r="Q158" s="56"/>
      <c r="R158" s="56"/>
      <c r="S158" s="56"/>
      <c r="T158" s="56"/>
      <c r="U158" s="56"/>
      <c r="V158" s="56"/>
      <c r="W158" s="54">
        <f t="shared" si="29"/>
        <v>332271</v>
      </c>
    </row>
    <row r="159" spans="1:23" s="42" customFormat="1" ht="30">
      <c r="A159" s="48"/>
      <c r="B159" s="11"/>
      <c r="C159" s="11">
        <v>1513183</v>
      </c>
      <c r="D159" s="71" t="s">
        <v>380</v>
      </c>
      <c r="E159" s="71" t="s">
        <v>345</v>
      </c>
      <c r="F159" s="43" t="s">
        <v>236</v>
      </c>
      <c r="G159" s="54">
        <f t="shared" si="28"/>
        <v>2016</v>
      </c>
      <c r="H159" s="56">
        <v>2016</v>
      </c>
      <c r="I159" s="56"/>
      <c r="J159" s="56"/>
      <c r="K159" s="56"/>
      <c r="L159" s="56"/>
      <c r="M159" s="56"/>
      <c r="N159" s="54"/>
      <c r="O159" s="56"/>
      <c r="P159" s="56"/>
      <c r="Q159" s="56"/>
      <c r="R159" s="56"/>
      <c r="S159" s="56"/>
      <c r="T159" s="56"/>
      <c r="U159" s="56"/>
      <c r="V159" s="56"/>
      <c r="W159" s="54">
        <f t="shared" si="29"/>
        <v>2016</v>
      </c>
    </row>
    <row r="160" spans="1:23" s="42" customFormat="1" ht="30">
      <c r="A160" s="48"/>
      <c r="B160" s="11"/>
      <c r="C160" s="11"/>
      <c r="D160" s="17"/>
      <c r="E160" s="71"/>
      <c r="F160" s="43" t="s">
        <v>75</v>
      </c>
      <c r="G160" s="54">
        <f t="shared" si="28"/>
        <v>2016</v>
      </c>
      <c r="H160" s="56">
        <f>H159</f>
        <v>2016</v>
      </c>
      <c r="I160" s="56"/>
      <c r="J160" s="56"/>
      <c r="K160" s="56"/>
      <c r="L160" s="56"/>
      <c r="M160" s="56"/>
      <c r="N160" s="54"/>
      <c r="O160" s="56"/>
      <c r="P160" s="56"/>
      <c r="Q160" s="56"/>
      <c r="R160" s="56"/>
      <c r="S160" s="56"/>
      <c r="T160" s="56"/>
      <c r="U160" s="56"/>
      <c r="V160" s="56"/>
      <c r="W160" s="54">
        <f t="shared" si="29"/>
        <v>2016</v>
      </c>
    </row>
    <row r="161" spans="1:23" s="42" customFormat="1" ht="105">
      <c r="A161" s="48"/>
      <c r="B161" s="11"/>
      <c r="C161" s="11">
        <v>1513190</v>
      </c>
      <c r="D161" s="74" t="s">
        <v>375</v>
      </c>
      <c r="E161" s="71">
        <v>1060</v>
      </c>
      <c r="F161" s="76" t="s">
        <v>232</v>
      </c>
      <c r="G161" s="54">
        <f t="shared" si="28"/>
        <v>1114045</v>
      </c>
      <c r="H161" s="119">
        <v>1114045</v>
      </c>
      <c r="I161" s="119"/>
      <c r="J161" s="119"/>
      <c r="K161" s="119"/>
      <c r="L161" s="119"/>
      <c r="M161" s="119"/>
      <c r="N161" s="54"/>
      <c r="O161" s="56"/>
      <c r="P161" s="56"/>
      <c r="Q161" s="56"/>
      <c r="R161" s="56"/>
      <c r="S161" s="56"/>
      <c r="T161" s="56"/>
      <c r="U161" s="56"/>
      <c r="V161" s="56"/>
      <c r="W161" s="54">
        <f t="shared" si="29"/>
        <v>1114045</v>
      </c>
    </row>
    <row r="162" spans="1:23" s="42" customFormat="1" ht="60">
      <c r="A162" s="48"/>
      <c r="B162" s="11"/>
      <c r="C162" s="11">
        <v>1513202</v>
      </c>
      <c r="D162" s="74" t="s">
        <v>376</v>
      </c>
      <c r="E162" s="71" t="s">
        <v>463</v>
      </c>
      <c r="F162" s="76" t="s">
        <v>233</v>
      </c>
      <c r="G162" s="54">
        <f t="shared" si="28"/>
        <v>261642</v>
      </c>
      <c r="H162" s="119">
        <f>261642-158878+158878</f>
        <v>261642</v>
      </c>
      <c r="I162" s="119"/>
      <c r="J162" s="119"/>
      <c r="K162" s="119"/>
      <c r="L162" s="119"/>
      <c r="M162" s="119"/>
      <c r="N162" s="54"/>
      <c r="O162" s="56"/>
      <c r="P162" s="56"/>
      <c r="Q162" s="56"/>
      <c r="R162" s="56"/>
      <c r="S162" s="56"/>
      <c r="T162" s="56"/>
      <c r="U162" s="56"/>
      <c r="V162" s="56"/>
      <c r="W162" s="54">
        <f t="shared" si="29"/>
        <v>261642</v>
      </c>
    </row>
    <row r="163" spans="1:23" s="42" customFormat="1" ht="30">
      <c r="A163" s="48"/>
      <c r="B163" s="11"/>
      <c r="C163" s="11">
        <v>1513400</v>
      </c>
      <c r="D163" s="71" t="s">
        <v>90</v>
      </c>
      <c r="E163" s="71" t="s">
        <v>344</v>
      </c>
      <c r="F163" s="43" t="s">
        <v>91</v>
      </c>
      <c r="G163" s="54">
        <f t="shared" si="28"/>
        <v>2940032</v>
      </c>
      <c r="H163" s="125">
        <f>2408174+32876.8+332.84-1083911.64+50000+289660+1242900</f>
        <v>2940032</v>
      </c>
      <c r="I163" s="119"/>
      <c r="J163" s="119"/>
      <c r="K163" s="119"/>
      <c r="L163" s="119"/>
      <c r="M163" s="119"/>
      <c r="N163" s="54"/>
      <c r="O163" s="56"/>
      <c r="P163" s="56"/>
      <c r="Q163" s="56"/>
      <c r="R163" s="56"/>
      <c r="S163" s="56"/>
      <c r="T163" s="56"/>
      <c r="U163" s="56"/>
      <c r="V163" s="56"/>
      <c r="W163" s="54">
        <f t="shared" si="29"/>
        <v>2940032</v>
      </c>
    </row>
    <row r="164" spans="1:23" s="42" customFormat="1" ht="30">
      <c r="A164" s="48"/>
      <c r="B164" s="11"/>
      <c r="C164" s="11"/>
      <c r="D164" s="71"/>
      <c r="E164" s="71"/>
      <c r="F164" s="43" t="s">
        <v>75</v>
      </c>
      <c r="G164" s="54">
        <f t="shared" si="28"/>
        <v>50000</v>
      </c>
      <c r="H164" s="125">
        <v>50000</v>
      </c>
      <c r="I164" s="119"/>
      <c r="J164" s="119"/>
      <c r="K164" s="119"/>
      <c r="L164" s="119"/>
      <c r="M164" s="119"/>
      <c r="N164" s="54"/>
      <c r="O164" s="56"/>
      <c r="P164" s="56"/>
      <c r="Q164" s="56"/>
      <c r="R164" s="56"/>
      <c r="S164" s="56"/>
      <c r="T164" s="56"/>
      <c r="U164" s="56"/>
      <c r="V164" s="56"/>
      <c r="W164" s="54">
        <f t="shared" si="29"/>
        <v>50000</v>
      </c>
    </row>
    <row r="165" spans="1:23" s="68" customFormat="1" ht="28.5">
      <c r="A165" s="67"/>
      <c r="B165" s="9"/>
      <c r="C165" s="21" t="s">
        <v>124</v>
      </c>
      <c r="D165" s="23"/>
      <c r="E165" s="23"/>
      <c r="F165" s="22" t="s">
        <v>2</v>
      </c>
      <c r="G165" s="53">
        <f>G167+G172+G177+G179+G182+G187+G168+G170</f>
        <v>83841283.91</v>
      </c>
      <c r="H165" s="53">
        <f>H167+H172+H177+H179+H182+H187+H168+H170</f>
        <v>83841283.91</v>
      </c>
      <c r="I165" s="53">
        <f>I167+I172+I177+I179+I182+I187</f>
        <v>4171361</v>
      </c>
      <c r="J165" s="53"/>
      <c r="K165" s="53"/>
      <c r="L165" s="53">
        <f>L167+L172+L177+L179+L182+L187</f>
        <v>5075242.04</v>
      </c>
      <c r="M165" s="53"/>
      <c r="N165" s="53">
        <f>N167+N172+N177+N179+N182+N187</f>
        <v>9624122.43</v>
      </c>
      <c r="O165" s="53">
        <f>O167+O172+O177+O179+O182+O187</f>
        <v>104600</v>
      </c>
      <c r="P165" s="53">
        <f>P167+P172+P177+P179+P182+P187</f>
        <v>11000</v>
      </c>
      <c r="Q165" s="53"/>
      <c r="R165" s="53"/>
      <c r="S165" s="53"/>
      <c r="T165" s="53">
        <f>T167+T172+T177+T179+T182+T187</f>
        <v>9519522.43</v>
      </c>
      <c r="U165" s="53">
        <f>U167+U172+U177+U179+U182+U187</f>
        <v>9499122.43</v>
      </c>
      <c r="V165" s="53">
        <f>V167+V172+V177+V179+V182+V187</f>
        <v>7358452.97</v>
      </c>
      <c r="W165" s="53">
        <f>W167+W172+W177+W179+W182+W187+W168+W170</f>
        <v>93465406.34</v>
      </c>
    </row>
    <row r="166" spans="1:23" s="68" customFormat="1" ht="28.5">
      <c r="A166" s="67"/>
      <c r="B166" s="9"/>
      <c r="C166" s="21" t="s">
        <v>125</v>
      </c>
      <c r="D166" s="23"/>
      <c r="E166" s="23"/>
      <c r="F166" s="22" t="s">
        <v>2</v>
      </c>
      <c r="G166" s="53">
        <f>G167+G172+G177+G179+G182+G187+G168+G170</f>
        <v>83841283.91</v>
      </c>
      <c r="H166" s="53">
        <f>H167+H172+H177+H179+H182+H187+H168+H170</f>
        <v>83841283.91</v>
      </c>
      <c r="I166" s="53">
        <f>I167+I172+I177+I179+I182+I187</f>
        <v>4171361</v>
      </c>
      <c r="J166" s="53"/>
      <c r="K166" s="53"/>
      <c r="L166" s="53">
        <f>L167+L172+L177+L179+L182+L187</f>
        <v>5075242.04</v>
      </c>
      <c r="M166" s="53"/>
      <c r="N166" s="53">
        <f>N167+N172+N177+N179+N182+N187</f>
        <v>9624122.43</v>
      </c>
      <c r="O166" s="53">
        <f>O167+O172+O177+O179+O182+O187</f>
        <v>104600</v>
      </c>
      <c r="P166" s="53">
        <f>P167+P172+P177+P179+P182+P187</f>
        <v>11000</v>
      </c>
      <c r="Q166" s="53"/>
      <c r="R166" s="53"/>
      <c r="S166" s="53"/>
      <c r="T166" s="53">
        <f>T167+T172+T177+T179+T182+T187</f>
        <v>9519522.43</v>
      </c>
      <c r="U166" s="53">
        <f>U167+U172+U177+U179+U182+U187</f>
        <v>9499122.43</v>
      </c>
      <c r="V166" s="53">
        <f>V167+V172+V177+V179+V182+V187</f>
        <v>7358452.97</v>
      </c>
      <c r="W166" s="53">
        <f>W167+W172+W177+W179+W182+W187+W168+W170</f>
        <v>93465406.34</v>
      </c>
    </row>
    <row r="167" spans="1:23" s="42" customFormat="1" ht="60">
      <c r="A167" s="48"/>
      <c r="B167" s="16" t="s">
        <v>505</v>
      </c>
      <c r="C167" s="17" t="s">
        <v>126</v>
      </c>
      <c r="D167" s="17" t="s">
        <v>499</v>
      </c>
      <c r="E167" s="17" t="s">
        <v>494</v>
      </c>
      <c r="F167" s="12" t="s">
        <v>167</v>
      </c>
      <c r="G167" s="54">
        <f>H167+M167</f>
        <v>3983516</v>
      </c>
      <c r="H167" s="55">
        <v>3983516</v>
      </c>
      <c r="I167" s="55">
        <v>3322697</v>
      </c>
      <c r="J167" s="55"/>
      <c r="K167" s="55"/>
      <c r="L167" s="55">
        <v>195211</v>
      </c>
      <c r="M167" s="55"/>
      <c r="N167" s="54">
        <f>O167+T167</f>
        <v>60000</v>
      </c>
      <c r="O167" s="55">
        <v>39600</v>
      </c>
      <c r="P167" s="55"/>
      <c r="Q167" s="55"/>
      <c r="R167" s="55"/>
      <c r="S167" s="55"/>
      <c r="T167" s="55">
        <v>20400</v>
      </c>
      <c r="U167" s="55"/>
      <c r="V167" s="55"/>
      <c r="W167" s="54">
        <f>G167+N167</f>
        <v>4043516</v>
      </c>
    </row>
    <row r="168" spans="1:23" s="42" customFormat="1" ht="45">
      <c r="A168" s="48"/>
      <c r="B168" s="16"/>
      <c r="C168" s="17" t="s">
        <v>369</v>
      </c>
      <c r="D168" s="17" t="s">
        <v>366</v>
      </c>
      <c r="E168" s="17"/>
      <c r="F168" s="12" t="s">
        <v>368</v>
      </c>
      <c r="G168" s="54">
        <f>H168+M168</f>
        <v>600000</v>
      </c>
      <c r="H168" s="55">
        <v>600000</v>
      </c>
      <c r="I168" s="55"/>
      <c r="J168" s="55"/>
      <c r="K168" s="55"/>
      <c r="L168" s="55"/>
      <c r="M168" s="55"/>
      <c r="N168" s="54"/>
      <c r="O168" s="55"/>
      <c r="P168" s="55"/>
      <c r="Q168" s="55"/>
      <c r="R168" s="55"/>
      <c r="S168" s="55"/>
      <c r="T168" s="55"/>
      <c r="U168" s="55"/>
      <c r="V168" s="55"/>
      <c r="W168" s="54">
        <f>G168+N168</f>
        <v>600000</v>
      </c>
    </row>
    <row r="169" spans="1:23" s="42" customFormat="1" ht="30">
      <c r="A169" s="48"/>
      <c r="B169" s="16"/>
      <c r="C169" s="17"/>
      <c r="D169" s="17"/>
      <c r="E169" s="17"/>
      <c r="F169" s="43" t="s">
        <v>70</v>
      </c>
      <c r="G169" s="54">
        <f>H169+M169</f>
        <v>600000</v>
      </c>
      <c r="H169" s="55">
        <f>H168</f>
        <v>600000</v>
      </c>
      <c r="I169" s="55"/>
      <c r="J169" s="55"/>
      <c r="K169" s="55"/>
      <c r="L169" s="55"/>
      <c r="M169" s="55"/>
      <c r="N169" s="54"/>
      <c r="O169" s="55"/>
      <c r="P169" s="55"/>
      <c r="Q169" s="55"/>
      <c r="R169" s="55"/>
      <c r="S169" s="55"/>
      <c r="T169" s="55"/>
      <c r="U169" s="55"/>
      <c r="V169" s="55"/>
      <c r="W169" s="54">
        <f>G169+N169</f>
        <v>600000</v>
      </c>
    </row>
    <row r="170" spans="1:23" s="42" customFormat="1" ht="45">
      <c r="A170" s="48"/>
      <c r="B170" s="16"/>
      <c r="C170" s="17" t="s">
        <v>370</v>
      </c>
      <c r="D170" s="17" t="s">
        <v>367</v>
      </c>
      <c r="E170" s="17"/>
      <c r="F170" s="12" t="s">
        <v>371</v>
      </c>
      <c r="G170" s="54">
        <f>H170+M170</f>
        <v>13493100</v>
      </c>
      <c r="H170" s="55">
        <v>13493100</v>
      </c>
      <c r="I170" s="55"/>
      <c r="J170" s="55"/>
      <c r="K170" s="55"/>
      <c r="L170" s="55"/>
      <c r="M170" s="55"/>
      <c r="N170" s="54"/>
      <c r="O170" s="55"/>
      <c r="P170" s="55"/>
      <c r="Q170" s="55"/>
      <c r="R170" s="55"/>
      <c r="S170" s="55"/>
      <c r="T170" s="55"/>
      <c r="U170" s="55"/>
      <c r="V170" s="55"/>
      <c r="W170" s="54">
        <f>G170+N170</f>
        <v>13493100</v>
      </c>
    </row>
    <row r="171" spans="1:23" s="42" customFormat="1" ht="30">
      <c r="A171" s="48"/>
      <c r="B171" s="16"/>
      <c r="C171" s="17"/>
      <c r="D171" s="17"/>
      <c r="E171" s="17"/>
      <c r="F171" s="43" t="s">
        <v>70</v>
      </c>
      <c r="G171" s="54">
        <f>H171+M171</f>
        <v>13493100</v>
      </c>
      <c r="H171" s="55">
        <f>H170</f>
        <v>13493100</v>
      </c>
      <c r="I171" s="55"/>
      <c r="J171" s="55"/>
      <c r="K171" s="55"/>
      <c r="L171" s="55"/>
      <c r="M171" s="55"/>
      <c r="N171" s="54"/>
      <c r="O171" s="55"/>
      <c r="P171" s="55"/>
      <c r="Q171" s="55"/>
      <c r="R171" s="55"/>
      <c r="S171" s="55"/>
      <c r="T171" s="55"/>
      <c r="U171" s="55"/>
      <c r="V171" s="55"/>
      <c r="W171" s="54">
        <f>G171+N171</f>
        <v>13493100</v>
      </c>
    </row>
    <row r="172" spans="1:23" s="42" customFormat="1" ht="29.25" customHeight="1">
      <c r="A172" s="48"/>
      <c r="B172" s="16"/>
      <c r="C172" s="16" t="s">
        <v>127</v>
      </c>
      <c r="D172" s="16" t="s">
        <v>305</v>
      </c>
      <c r="E172" s="16"/>
      <c r="F172" s="13" t="s">
        <v>306</v>
      </c>
      <c r="G172" s="54">
        <f>SUM(G173:G176)</f>
        <v>48638331.04</v>
      </c>
      <c r="H172" s="55">
        <f>SUM(H173:H176)</f>
        <v>48638331.04</v>
      </c>
      <c r="I172" s="55"/>
      <c r="J172" s="55"/>
      <c r="K172" s="55"/>
      <c r="L172" s="55">
        <f>SUM(L173:L176)</f>
        <v>4853731.04</v>
      </c>
      <c r="M172" s="55"/>
      <c r="N172" s="54">
        <f>SUM(N173:N176)</f>
        <v>1210094.84</v>
      </c>
      <c r="O172" s="55"/>
      <c r="P172" s="55"/>
      <c r="Q172" s="55"/>
      <c r="R172" s="55"/>
      <c r="S172" s="55"/>
      <c r="T172" s="55">
        <f>SUM(T173:T176)</f>
        <v>1210094.84</v>
      </c>
      <c r="U172" s="55">
        <f>SUM(U173:U176)</f>
        <v>1210094.84</v>
      </c>
      <c r="V172" s="55"/>
      <c r="W172" s="54">
        <f aca="true" t="shared" si="30" ref="W172:W191">G172+N172</f>
        <v>49848425.88</v>
      </c>
    </row>
    <row r="173" spans="1:23" s="42" customFormat="1" ht="15">
      <c r="A173" s="48"/>
      <c r="B173" s="16"/>
      <c r="C173" s="17" t="s">
        <v>128</v>
      </c>
      <c r="D173" s="17" t="s">
        <v>3</v>
      </c>
      <c r="E173" s="17" t="s">
        <v>309</v>
      </c>
      <c r="F173" s="12" t="s">
        <v>237</v>
      </c>
      <c r="G173" s="54"/>
      <c r="H173" s="55"/>
      <c r="I173" s="55"/>
      <c r="J173" s="55"/>
      <c r="K173" s="55"/>
      <c r="L173" s="55"/>
      <c r="M173" s="55"/>
      <c r="N173" s="54">
        <f>O173+T173</f>
        <v>1210094.84</v>
      </c>
      <c r="O173" s="55"/>
      <c r="P173" s="55"/>
      <c r="Q173" s="55"/>
      <c r="R173" s="55"/>
      <c r="S173" s="55"/>
      <c r="T173" s="56">
        <v>1210094.84</v>
      </c>
      <c r="U173" s="56">
        <v>1210094.84</v>
      </c>
      <c r="V173" s="55"/>
      <c r="W173" s="54">
        <f t="shared" si="30"/>
        <v>1210094.84</v>
      </c>
    </row>
    <row r="174" spans="1:23" s="42" customFormat="1" ht="45" hidden="1">
      <c r="A174" s="48"/>
      <c r="B174" s="16"/>
      <c r="C174" s="17"/>
      <c r="D174" s="17" t="s">
        <v>4</v>
      </c>
      <c r="E174" s="17" t="s">
        <v>309</v>
      </c>
      <c r="F174" s="12" t="s">
        <v>310</v>
      </c>
      <c r="G174" s="54">
        <f>H174+M174</f>
        <v>0</v>
      </c>
      <c r="H174" s="55"/>
      <c r="I174" s="55"/>
      <c r="J174" s="55"/>
      <c r="K174" s="55"/>
      <c r="L174" s="55"/>
      <c r="M174" s="55"/>
      <c r="N174" s="54"/>
      <c r="O174" s="55"/>
      <c r="P174" s="55"/>
      <c r="Q174" s="55"/>
      <c r="R174" s="55"/>
      <c r="S174" s="55"/>
      <c r="T174" s="55"/>
      <c r="U174" s="55"/>
      <c r="V174" s="55"/>
      <c r="W174" s="54">
        <f t="shared" si="30"/>
        <v>0</v>
      </c>
    </row>
    <row r="175" spans="1:23" s="42" customFormat="1" ht="45">
      <c r="A175" s="48"/>
      <c r="B175" s="16"/>
      <c r="C175" s="17" t="s">
        <v>129</v>
      </c>
      <c r="D175" s="17" t="s">
        <v>307</v>
      </c>
      <c r="E175" s="17" t="s">
        <v>311</v>
      </c>
      <c r="F175" s="12" t="s">
        <v>238</v>
      </c>
      <c r="G175" s="54">
        <f>H175+M175</f>
        <v>32885</v>
      </c>
      <c r="H175" s="56">
        <v>32885</v>
      </c>
      <c r="I175" s="56"/>
      <c r="J175" s="56"/>
      <c r="K175" s="56"/>
      <c r="L175" s="56"/>
      <c r="M175" s="55"/>
      <c r="N175" s="54"/>
      <c r="O175" s="55"/>
      <c r="P175" s="55"/>
      <c r="Q175" s="55"/>
      <c r="R175" s="55"/>
      <c r="S175" s="55"/>
      <c r="T175" s="55"/>
      <c r="U175" s="55"/>
      <c r="V175" s="55"/>
      <c r="W175" s="54">
        <f t="shared" si="30"/>
        <v>32885</v>
      </c>
    </row>
    <row r="176" spans="1:23" s="42" customFormat="1" ht="15">
      <c r="A176" s="48"/>
      <c r="B176" s="16"/>
      <c r="C176" s="17" t="s">
        <v>130</v>
      </c>
      <c r="D176" s="17" t="s">
        <v>308</v>
      </c>
      <c r="E176" s="17" t="s">
        <v>311</v>
      </c>
      <c r="F176" s="12" t="s">
        <v>359</v>
      </c>
      <c r="G176" s="54">
        <f>H176+M176</f>
        <v>48605446.04</v>
      </c>
      <c r="H176" s="56">
        <v>48605446.04</v>
      </c>
      <c r="I176" s="56"/>
      <c r="J176" s="56"/>
      <c r="K176" s="56"/>
      <c r="L176" s="56">
        <v>4853731.04</v>
      </c>
      <c r="M176" s="55"/>
      <c r="N176" s="54"/>
      <c r="O176" s="55"/>
      <c r="P176" s="55"/>
      <c r="Q176" s="55"/>
      <c r="R176" s="55"/>
      <c r="S176" s="55"/>
      <c r="T176" s="55"/>
      <c r="U176" s="55"/>
      <c r="V176" s="55"/>
      <c r="W176" s="54">
        <f t="shared" si="30"/>
        <v>48605446.04</v>
      </c>
    </row>
    <row r="177" spans="1:23" s="42" customFormat="1" ht="21" customHeight="1">
      <c r="A177" s="48"/>
      <c r="B177" s="9"/>
      <c r="C177" s="9">
        <v>4016300</v>
      </c>
      <c r="D177" s="16" t="s">
        <v>514</v>
      </c>
      <c r="E177" s="16"/>
      <c r="F177" s="10" t="s">
        <v>515</v>
      </c>
      <c r="G177" s="54"/>
      <c r="H177" s="55"/>
      <c r="I177" s="55"/>
      <c r="J177" s="55"/>
      <c r="K177" s="55"/>
      <c r="L177" s="55"/>
      <c r="M177" s="55"/>
      <c r="N177" s="54">
        <f>N178</f>
        <v>185354.48</v>
      </c>
      <c r="O177" s="55"/>
      <c r="P177" s="55"/>
      <c r="Q177" s="55"/>
      <c r="R177" s="55"/>
      <c r="S177" s="55"/>
      <c r="T177" s="55">
        <f>T178</f>
        <v>185354.48</v>
      </c>
      <c r="U177" s="55">
        <f>U178</f>
        <v>185354.48</v>
      </c>
      <c r="V177" s="55"/>
      <c r="W177" s="54">
        <f t="shared" si="30"/>
        <v>185354.48</v>
      </c>
    </row>
    <row r="178" spans="1:23" s="42" customFormat="1" ht="33" customHeight="1">
      <c r="A178" s="48"/>
      <c r="B178" s="9"/>
      <c r="C178" s="11">
        <v>4016310</v>
      </c>
      <c r="D178" s="17" t="s">
        <v>502</v>
      </c>
      <c r="E178" s="17" t="s">
        <v>347</v>
      </c>
      <c r="F178" s="20" t="s">
        <v>190</v>
      </c>
      <c r="G178" s="54"/>
      <c r="H178" s="55"/>
      <c r="I178" s="55"/>
      <c r="J178" s="55"/>
      <c r="K178" s="55"/>
      <c r="L178" s="55"/>
      <c r="M178" s="55"/>
      <c r="N178" s="54">
        <f>O178+T178</f>
        <v>185354.48</v>
      </c>
      <c r="O178" s="55"/>
      <c r="P178" s="55"/>
      <c r="Q178" s="55"/>
      <c r="R178" s="55"/>
      <c r="S178" s="55"/>
      <c r="T178" s="56">
        <v>185354.48</v>
      </c>
      <c r="U178" s="56">
        <v>185354.48</v>
      </c>
      <c r="V178" s="55"/>
      <c r="W178" s="54">
        <f t="shared" si="30"/>
        <v>185354.48</v>
      </c>
    </row>
    <row r="179" spans="1:23" s="42" customFormat="1" ht="42.75">
      <c r="A179" s="48"/>
      <c r="B179" s="16"/>
      <c r="C179" s="16" t="s">
        <v>131</v>
      </c>
      <c r="D179" s="16" t="s">
        <v>312</v>
      </c>
      <c r="E179" s="16"/>
      <c r="F179" s="13" t="s">
        <v>313</v>
      </c>
      <c r="G179" s="54">
        <f>G180+G181</f>
        <v>9433800</v>
      </c>
      <c r="H179" s="55">
        <f>H180+H181</f>
        <v>9433800</v>
      </c>
      <c r="I179" s="55"/>
      <c r="J179" s="55"/>
      <c r="K179" s="55"/>
      <c r="L179" s="55"/>
      <c r="M179" s="55"/>
      <c r="N179" s="54">
        <f>N180+N181</f>
        <v>6686309.98</v>
      </c>
      <c r="O179" s="55"/>
      <c r="P179" s="55"/>
      <c r="Q179" s="55"/>
      <c r="R179" s="55"/>
      <c r="S179" s="55"/>
      <c r="T179" s="55">
        <f>T180+T181</f>
        <v>6686309.98</v>
      </c>
      <c r="U179" s="55">
        <f>U180+U181</f>
        <v>6686309.98</v>
      </c>
      <c r="V179" s="55">
        <f>V180+V181</f>
        <v>5941089.84</v>
      </c>
      <c r="W179" s="54">
        <f t="shared" si="30"/>
        <v>16120109.98</v>
      </c>
    </row>
    <row r="180" spans="1:23" s="42" customFormat="1" ht="24" customHeight="1">
      <c r="A180" s="48"/>
      <c r="B180" s="16"/>
      <c r="C180" s="17" t="s">
        <v>132</v>
      </c>
      <c r="D180" s="17" t="s">
        <v>314</v>
      </c>
      <c r="E180" s="17" t="s">
        <v>315</v>
      </c>
      <c r="F180" s="12" t="s">
        <v>5</v>
      </c>
      <c r="G180" s="54">
        <f>H180+M180</f>
        <v>2933800</v>
      </c>
      <c r="H180" s="56">
        <v>2933800</v>
      </c>
      <c r="I180" s="55"/>
      <c r="J180" s="55"/>
      <c r="K180" s="55"/>
      <c r="L180" s="55"/>
      <c r="M180" s="55"/>
      <c r="N180" s="54">
        <f>O180+T180</f>
        <v>0</v>
      </c>
      <c r="O180" s="55"/>
      <c r="P180" s="55"/>
      <c r="Q180" s="55"/>
      <c r="R180" s="55"/>
      <c r="S180" s="55"/>
      <c r="T180" s="55"/>
      <c r="U180" s="55"/>
      <c r="V180" s="55"/>
      <c r="W180" s="54">
        <f t="shared" si="30"/>
        <v>2933800</v>
      </c>
    </row>
    <row r="181" spans="1:23" s="42" customFormat="1" ht="60">
      <c r="A181" s="48"/>
      <c r="B181" s="16"/>
      <c r="C181" s="17" t="s">
        <v>133</v>
      </c>
      <c r="D181" s="17" t="s">
        <v>227</v>
      </c>
      <c r="E181" s="17" t="s">
        <v>348</v>
      </c>
      <c r="F181" s="12" t="s">
        <v>451</v>
      </c>
      <c r="G181" s="54">
        <f>H181+M181</f>
        <v>6500000</v>
      </c>
      <c r="H181" s="56">
        <v>6500000</v>
      </c>
      <c r="I181" s="55"/>
      <c r="J181" s="55"/>
      <c r="K181" s="55"/>
      <c r="L181" s="55"/>
      <c r="M181" s="55"/>
      <c r="N181" s="54">
        <f>O181+T181</f>
        <v>6686309.98</v>
      </c>
      <c r="O181" s="55"/>
      <c r="P181" s="55"/>
      <c r="Q181" s="55"/>
      <c r="R181" s="55"/>
      <c r="S181" s="55"/>
      <c r="T181" s="56">
        <v>6686309.98</v>
      </c>
      <c r="U181" s="56">
        <v>6686309.98</v>
      </c>
      <c r="V181" s="56">
        <v>5941089.84</v>
      </c>
      <c r="W181" s="54">
        <f t="shared" si="30"/>
        <v>13186309.98</v>
      </c>
    </row>
    <row r="182" spans="1:23" s="42" customFormat="1" ht="42.75">
      <c r="A182" s="48"/>
      <c r="B182" s="16"/>
      <c r="C182" s="16" t="s">
        <v>134</v>
      </c>
      <c r="D182" s="16" t="s">
        <v>6</v>
      </c>
      <c r="E182" s="16"/>
      <c r="F182" s="13" t="s">
        <v>452</v>
      </c>
      <c r="G182" s="54">
        <f>G183+G185</f>
        <v>1609900</v>
      </c>
      <c r="H182" s="55">
        <f>H183+H185</f>
        <v>1609900</v>
      </c>
      <c r="I182" s="55">
        <f aca="true" t="shared" si="31" ref="I182:O182">I183+I185</f>
        <v>848664</v>
      </c>
      <c r="J182" s="55"/>
      <c r="K182" s="55"/>
      <c r="L182" s="55">
        <f t="shared" si="31"/>
        <v>26300</v>
      </c>
      <c r="M182" s="55"/>
      <c r="N182" s="54">
        <f>O182+T182</f>
        <v>11000</v>
      </c>
      <c r="O182" s="55">
        <f t="shared" si="31"/>
        <v>11000</v>
      </c>
      <c r="P182" s="55">
        <f>P183+P185</f>
        <v>11000</v>
      </c>
      <c r="Q182" s="55"/>
      <c r="R182" s="55"/>
      <c r="S182" s="55"/>
      <c r="T182" s="55"/>
      <c r="U182" s="55"/>
      <c r="V182" s="55"/>
      <c r="W182" s="54">
        <f t="shared" si="30"/>
        <v>1620900</v>
      </c>
    </row>
    <row r="183" spans="1:23" s="42" customFormat="1" ht="45.75" customHeight="1">
      <c r="A183" s="48"/>
      <c r="B183" s="16"/>
      <c r="C183" s="17" t="s">
        <v>135</v>
      </c>
      <c r="D183" s="17" t="s">
        <v>7</v>
      </c>
      <c r="E183" s="17" t="s">
        <v>316</v>
      </c>
      <c r="F183" s="12" t="s">
        <v>239</v>
      </c>
      <c r="G183" s="54">
        <f>G184</f>
        <v>628000</v>
      </c>
      <c r="H183" s="56">
        <f>H184</f>
        <v>628000</v>
      </c>
      <c r="I183" s="56"/>
      <c r="J183" s="56"/>
      <c r="K183" s="56"/>
      <c r="L183" s="56"/>
      <c r="M183" s="56"/>
      <c r="N183" s="54"/>
      <c r="O183" s="55"/>
      <c r="P183" s="55"/>
      <c r="Q183" s="55"/>
      <c r="R183" s="55"/>
      <c r="S183" s="55"/>
      <c r="T183" s="55"/>
      <c r="U183" s="55"/>
      <c r="V183" s="55"/>
      <c r="W183" s="54">
        <f t="shared" si="30"/>
        <v>628000</v>
      </c>
    </row>
    <row r="184" spans="1:23" s="42" customFormat="1" ht="45">
      <c r="A184" s="48"/>
      <c r="B184" s="16"/>
      <c r="C184" s="17"/>
      <c r="D184" s="17"/>
      <c r="E184" s="17"/>
      <c r="F184" s="44" t="s">
        <v>59</v>
      </c>
      <c r="G184" s="54">
        <f>H184+M184</f>
        <v>628000</v>
      </c>
      <c r="H184" s="56">
        <v>628000</v>
      </c>
      <c r="I184" s="56"/>
      <c r="J184" s="56"/>
      <c r="K184" s="56"/>
      <c r="L184" s="56"/>
      <c r="M184" s="56"/>
      <c r="N184" s="54"/>
      <c r="O184" s="56"/>
      <c r="P184" s="56"/>
      <c r="Q184" s="55"/>
      <c r="R184" s="55"/>
      <c r="S184" s="55"/>
      <c r="T184" s="55"/>
      <c r="U184" s="55"/>
      <c r="V184" s="55"/>
      <c r="W184" s="54">
        <f t="shared" si="30"/>
        <v>628000</v>
      </c>
    </row>
    <row r="185" spans="1:23" s="42" customFormat="1" ht="15">
      <c r="A185" s="48"/>
      <c r="B185" s="16"/>
      <c r="C185" s="17" t="s">
        <v>136</v>
      </c>
      <c r="D185" s="17" t="s">
        <v>8</v>
      </c>
      <c r="E185" s="17" t="s">
        <v>316</v>
      </c>
      <c r="F185" s="12" t="s">
        <v>240</v>
      </c>
      <c r="G185" s="54">
        <f aca="true" t="shared" si="32" ref="G185:P185">G186</f>
        <v>981900</v>
      </c>
      <c r="H185" s="56">
        <f t="shared" si="32"/>
        <v>981900</v>
      </c>
      <c r="I185" s="56">
        <f t="shared" si="32"/>
        <v>848664</v>
      </c>
      <c r="J185" s="56"/>
      <c r="K185" s="56"/>
      <c r="L185" s="56">
        <f t="shared" si="32"/>
        <v>26300</v>
      </c>
      <c r="M185" s="56"/>
      <c r="N185" s="54">
        <f t="shared" si="32"/>
        <v>11000</v>
      </c>
      <c r="O185" s="56">
        <f t="shared" si="32"/>
        <v>11000</v>
      </c>
      <c r="P185" s="56">
        <f t="shared" si="32"/>
        <v>11000</v>
      </c>
      <c r="Q185" s="55"/>
      <c r="R185" s="55"/>
      <c r="S185" s="55"/>
      <c r="T185" s="55"/>
      <c r="U185" s="55"/>
      <c r="V185" s="55"/>
      <c r="W185" s="54">
        <f t="shared" si="30"/>
        <v>992900</v>
      </c>
    </row>
    <row r="186" spans="1:23" s="42" customFormat="1" ht="90">
      <c r="A186" s="48"/>
      <c r="B186" s="16"/>
      <c r="C186" s="17"/>
      <c r="D186" s="17"/>
      <c r="E186" s="17"/>
      <c r="F186" s="12" t="s">
        <v>60</v>
      </c>
      <c r="G186" s="54">
        <f>H186+M186</f>
        <v>981900</v>
      </c>
      <c r="H186" s="56">
        <v>981900</v>
      </c>
      <c r="I186" s="56">
        <v>848664</v>
      </c>
      <c r="J186" s="56"/>
      <c r="K186" s="56"/>
      <c r="L186" s="56">
        <v>26300</v>
      </c>
      <c r="M186" s="56"/>
      <c r="N186" s="54">
        <f>O186+T186</f>
        <v>11000</v>
      </c>
      <c r="O186" s="56">
        <v>11000</v>
      </c>
      <c r="P186" s="56">
        <v>11000</v>
      </c>
      <c r="Q186" s="55"/>
      <c r="R186" s="55"/>
      <c r="S186" s="55"/>
      <c r="T186" s="55"/>
      <c r="U186" s="55"/>
      <c r="V186" s="55"/>
      <c r="W186" s="54">
        <f t="shared" si="30"/>
        <v>992900</v>
      </c>
    </row>
    <row r="187" spans="1:23" s="42" customFormat="1" ht="14.25">
      <c r="A187" s="48"/>
      <c r="B187" s="16"/>
      <c r="C187" s="16" t="s">
        <v>137</v>
      </c>
      <c r="D187" s="16" t="s">
        <v>317</v>
      </c>
      <c r="E187" s="16"/>
      <c r="F187" s="13" t="s">
        <v>485</v>
      </c>
      <c r="G187" s="54">
        <f>SUM(G188:G191)</f>
        <v>6082636.87</v>
      </c>
      <c r="H187" s="55">
        <f>SUM(H188:H191)</f>
        <v>6082636.87</v>
      </c>
      <c r="I187" s="55"/>
      <c r="J187" s="55"/>
      <c r="K187" s="55"/>
      <c r="L187" s="55"/>
      <c r="M187" s="55"/>
      <c r="N187" s="54">
        <f>SUM(N188:N191)</f>
        <v>1471363.13</v>
      </c>
      <c r="O187" s="55">
        <f>SUM(O188:O191)</f>
        <v>54000</v>
      </c>
      <c r="P187" s="55"/>
      <c r="Q187" s="55"/>
      <c r="R187" s="55"/>
      <c r="S187" s="55"/>
      <c r="T187" s="55">
        <f>SUM(T188:T191)</f>
        <v>1417363.13</v>
      </c>
      <c r="U187" s="55">
        <f>SUM(U188:U191)</f>
        <v>1417363.13</v>
      </c>
      <c r="V187" s="55">
        <f>SUM(V188:V191)</f>
        <v>1417363.13</v>
      </c>
      <c r="W187" s="54">
        <f t="shared" si="30"/>
        <v>7554000</v>
      </c>
    </row>
    <row r="188" spans="1:23" s="42" customFormat="1" ht="30">
      <c r="A188" s="48"/>
      <c r="B188" s="16"/>
      <c r="C188" s="17" t="s">
        <v>138</v>
      </c>
      <c r="D188" s="17" t="s">
        <v>9</v>
      </c>
      <c r="E188" s="17" t="s">
        <v>318</v>
      </c>
      <c r="F188" s="12" t="s">
        <v>241</v>
      </c>
      <c r="G188" s="54">
        <f>H188+M188</f>
        <v>3774286</v>
      </c>
      <c r="H188" s="56">
        <v>3774286</v>
      </c>
      <c r="I188" s="55"/>
      <c r="J188" s="55"/>
      <c r="K188" s="55"/>
      <c r="L188" s="55"/>
      <c r="M188" s="55"/>
      <c r="N188" s="54">
        <f>O188+T188</f>
        <v>758244.1</v>
      </c>
      <c r="O188" s="56">
        <v>54000</v>
      </c>
      <c r="P188" s="56"/>
      <c r="Q188" s="56"/>
      <c r="R188" s="56"/>
      <c r="S188" s="56"/>
      <c r="T188" s="56">
        <v>704244.1</v>
      </c>
      <c r="U188" s="56">
        <v>704244.1</v>
      </c>
      <c r="V188" s="56">
        <v>704244.1</v>
      </c>
      <c r="W188" s="54">
        <f t="shared" si="30"/>
        <v>4532530.1</v>
      </c>
    </row>
    <row r="189" spans="1:23" s="42" customFormat="1" ht="15">
      <c r="A189" s="48"/>
      <c r="B189" s="16"/>
      <c r="C189" s="17" t="s">
        <v>139</v>
      </c>
      <c r="D189" s="17" t="s">
        <v>10</v>
      </c>
      <c r="E189" s="17" t="s">
        <v>319</v>
      </c>
      <c r="F189" s="12" t="s">
        <v>11</v>
      </c>
      <c r="G189" s="54">
        <f>H189+M189</f>
        <v>850000</v>
      </c>
      <c r="H189" s="56">
        <v>850000</v>
      </c>
      <c r="I189" s="55"/>
      <c r="J189" s="55"/>
      <c r="K189" s="55"/>
      <c r="L189" s="55"/>
      <c r="M189" s="55"/>
      <c r="N189" s="54">
        <f>O189+T189</f>
        <v>292509.47</v>
      </c>
      <c r="O189" s="56"/>
      <c r="P189" s="56"/>
      <c r="Q189" s="56"/>
      <c r="R189" s="56"/>
      <c r="S189" s="56"/>
      <c r="T189" s="56">
        <v>292509.47</v>
      </c>
      <c r="U189" s="56">
        <v>292509.47</v>
      </c>
      <c r="V189" s="56">
        <v>292509.47</v>
      </c>
      <c r="W189" s="54">
        <f t="shared" si="30"/>
        <v>1142509.47</v>
      </c>
    </row>
    <row r="190" spans="1:23" s="42" customFormat="1" ht="45">
      <c r="A190" s="48"/>
      <c r="B190" s="16"/>
      <c r="C190" s="17" t="s">
        <v>140</v>
      </c>
      <c r="D190" s="17" t="s">
        <v>12</v>
      </c>
      <c r="E190" s="17" t="s">
        <v>320</v>
      </c>
      <c r="F190" s="12" t="s">
        <v>321</v>
      </c>
      <c r="G190" s="54">
        <f>H190+M190</f>
        <v>110000</v>
      </c>
      <c r="H190" s="56">
        <v>110000</v>
      </c>
      <c r="I190" s="55"/>
      <c r="J190" s="55"/>
      <c r="K190" s="55"/>
      <c r="L190" s="55"/>
      <c r="M190" s="55"/>
      <c r="N190" s="54"/>
      <c r="O190" s="56"/>
      <c r="P190" s="56"/>
      <c r="Q190" s="56"/>
      <c r="R190" s="56"/>
      <c r="S190" s="56"/>
      <c r="T190" s="56"/>
      <c r="U190" s="56"/>
      <c r="V190" s="56"/>
      <c r="W190" s="54">
        <f t="shared" si="30"/>
        <v>110000</v>
      </c>
    </row>
    <row r="191" spans="1:23" s="42" customFormat="1" ht="30">
      <c r="A191" s="48"/>
      <c r="B191" s="16"/>
      <c r="C191" s="17" t="s">
        <v>141</v>
      </c>
      <c r="D191" s="17" t="s">
        <v>13</v>
      </c>
      <c r="E191" s="17" t="s">
        <v>323</v>
      </c>
      <c r="F191" s="12" t="s">
        <v>322</v>
      </c>
      <c r="G191" s="54">
        <f>H191+M191</f>
        <v>1348350.87</v>
      </c>
      <c r="H191" s="56">
        <v>1348350.87</v>
      </c>
      <c r="I191" s="55"/>
      <c r="J191" s="55"/>
      <c r="K191" s="55"/>
      <c r="L191" s="55"/>
      <c r="M191" s="55"/>
      <c r="N191" s="54">
        <f>O191+T191</f>
        <v>420609.56</v>
      </c>
      <c r="O191" s="56"/>
      <c r="P191" s="56"/>
      <c r="Q191" s="56"/>
      <c r="R191" s="56"/>
      <c r="S191" s="56"/>
      <c r="T191" s="56">
        <v>420609.56</v>
      </c>
      <c r="U191" s="56">
        <v>420609.56</v>
      </c>
      <c r="V191" s="56">
        <v>420609.56</v>
      </c>
      <c r="W191" s="54">
        <f t="shared" si="30"/>
        <v>1768960.4300000002</v>
      </c>
    </row>
    <row r="192" spans="1:23" s="68" customFormat="1" ht="42.75">
      <c r="A192" s="67"/>
      <c r="B192" s="16"/>
      <c r="C192" s="21" t="s">
        <v>142</v>
      </c>
      <c r="D192" s="21"/>
      <c r="E192" s="21"/>
      <c r="F192" s="22" t="s">
        <v>14</v>
      </c>
      <c r="G192" s="53">
        <f aca="true" t="shared" si="33" ref="G192:W192">G194+G203+G195+G196+G197+G198+G199+G200+G201+G202</f>
        <v>7018457</v>
      </c>
      <c r="H192" s="53">
        <f t="shared" si="33"/>
        <v>7018457</v>
      </c>
      <c r="I192" s="53">
        <f t="shared" si="33"/>
        <v>4472209</v>
      </c>
      <c r="J192" s="53"/>
      <c r="K192" s="53"/>
      <c r="L192" s="53">
        <f t="shared" si="33"/>
        <v>220328</v>
      </c>
      <c r="M192" s="53"/>
      <c r="N192" s="53">
        <f t="shared" si="33"/>
        <v>5764956.290000001</v>
      </c>
      <c r="O192" s="53"/>
      <c r="P192" s="53"/>
      <c r="Q192" s="53"/>
      <c r="R192" s="53"/>
      <c r="S192" s="53"/>
      <c r="T192" s="53">
        <f t="shared" si="33"/>
        <v>5764956.290000001</v>
      </c>
      <c r="U192" s="53">
        <f t="shared" si="33"/>
        <v>5764956.290000001</v>
      </c>
      <c r="V192" s="53">
        <f t="shared" si="33"/>
        <v>58910.16</v>
      </c>
      <c r="W192" s="53">
        <f t="shared" si="33"/>
        <v>12783413.29</v>
      </c>
    </row>
    <row r="193" spans="1:23" s="68" customFormat="1" ht="42.75">
      <c r="A193" s="67"/>
      <c r="B193" s="16"/>
      <c r="C193" s="21" t="s">
        <v>143</v>
      </c>
      <c r="D193" s="21"/>
      <c r="E193" s="21"/>
      <c r="F193" s="22" t="s">
        <v>14</v>
      </c>
      <c r="G193" s="53">
        <f>G194+G203+G195+G196+G197+G198+G199+G200+G201+G202</f>
        <v>7018457</v>
      </c>
      <c r="H193" s="53">
        <f aca="true" t="shared" si="34" ref="H193:W193">H194+H203+H195+H196+H197+H198+H199+H200+H201+H202</f>
        <v>7018457</v>
      </c>
      <c r="I193" s="53">
        <f t="shared" si="34"/>
        <v>4472209</v>
      </c>
      <c r="J193" s="53"/>
      <c r="K193" s="53"/>
      <c r="L193" s="53">
        <f t="shared" si="34"/>
        <v>220328</v>
      </c>
      <c r="M193" s="53"/>
      <c r="N193" s="53">
        <f t="shared" si="34"/>
        <v>5764956.290000001</v>
      </c>
      <c r="O193" s="53"/>
      <c r="P193" s="53"/>
      <c r="Q193" s="53"/>
      <c r="R193" s="53"/>
      <c r="S193" s="53"/>
      <c r="T193" s="53">
        <f t="shared" si="34"/>
        <v>5764956.290000001</v>
      </c>
      <c r="U193" s="53">
        <f t="shared" si="34"/>
        <v>5764956.290000001</v>
      </c>
      <c r="V193" s="53">
        <f t="shared" si="34"/>
        <v>58910.16</v>
      </c>
      <c r="W193" s="53">
        <f t="shared" si="34"/>
        <v>12783413.29</v>
      </c>
    </row>
    <row r="194" spans="1:23" s="42" customFormat="1" ht="60">
      <c r="A194" s="48"/>
      <c r="B194" s="16" t="s">
        <v>505</v>
      </c>
      <c r="C194" s="17" t="s">
        <v>144</v>
      </c>
      <c r="D194" s="17" t="s">
        <v>499</v>
      </c>
      <c r="E194" s="17" t="s">
        <v>494</v>
      </c>
      <c r="F194" s="12" t="s">
        <v>167</v>
      </c>
      <c r="G194" s="54">
        <f>H194+M194</f>
        <v>5304457</v>
      </c>
      <c r="H194" s="56">
        <v>5304457</v>
      </c>
      <c r="I194" s="56">
        <v>4472209</v>
      </c>
      <c r="J194" s="56"/>
      <c r="K194" s="56"/>
      <c r="L194" s="56">
        <v>220328</v>
      </c>
      <c r="M194" s="55"/>
      <c r="N194" s="54"/>
      <c r="O194" s="55"/>
      <c r="P194" s="55"/>
      <c r="Q194" s="55"/>
      <c r="R194" s="55"/>
      <c r="S194" s="55"/>
      <c r="T194" s="55"/>
      <c r="U194" s="55"/>
      <c r="V194" s="55"/>
      <c r="W194" s="54">
        <f aca="true" t="shared" si="35" ref="W194:W207">G194+N194</f>
        <v>5304457</v>
      </c>
    </row>
    <row r="195" spans="1:23" s="42" customFormat="1" ht="15">
      <c r="A195" s="48"/>
      <c r="B195" s="16"/>
      <c r="C195" s="17" t="s">
        <v>145</v>
      </c>
      <c r="D195" s="17" t="s">
        <v>521</v>
      </c>
      <c r="E195" s="17" t="s">
        <v>462</v>
      </c>
      <c r="F195" s="20" t="s">
        <v>172</v>
      </c>
      <c r="G195" s="54"/>
      <c r="H195" s="55"/>
      <c r="I195" s="55"/>
      <c r="J195" s="55"/>
      <c r="K195" s="55"/>
      <c r="L195" s="55"/>
      <c r="M195" s="55"/>
      <c r="N195" s="54">
        <f aca="true" t="shared" si="36" ref="N195:N205">O195+U195</f>
        <v>376797.73</v>
      </c>
      <c r="O195" s="55"/>
      <c r="P195" s="55"/>
      <c r="Q195" s="55"/>
      <c r="R195" s="55"/>
      <c r="S195" s="55"/>
      <c r="T195" s="56">
        <v>376797.73</v>
      </c>
      <c r="U195" s="56">
        <f aca="true" t="shared" si="37" ref="U195:U202">T195</f>
        <v>376797.73</v>
      </c>
      <c r="V195" s="56"/>
      <c r="W195" s="54">
        <f t="shared" si="35"/>
        <v>376797.73</v>
      </c>
    </row>
    <row r="196" spans="1:23" s="42" customFormat="1" ht="90">
      <c r="A196" s="48"/>
      <c r="B196" s="16"/>
      <c r="C196" s="17" t="s">
        <v>146</v>
      </c>
      <c r="D196" s="17" t="s">
        <v>522</v>
      </c>
      <c r="E196" s="17" t="s">
        <v>349</v>
      </c>
      <c r="F196" s="20" t="s">
        <v>192</v>
      </c>
      <c r="G196" s="54"/>
      <c r="H196" s="55"/>
      <c r="I196" s="55"/>
      <c r="J196" s="55"/>
      <c r="K196" s="55"/>
      <c r="L196" s="55"/>
      <c r="M196" s="55"/>
      <c r="N196" s="54">
        <f t="shared" si="36"/>
        <v>972193.17</v>
      </c>
      <c r="O196" s="55"/>
      <c r="P196" s="55"/>
      <c r="Q196" s="55"/>
      <c r="R196" s="55"/>
      <c r="S196" s="55"/>
      <c r="T196" s="56">
        <v>972193.17</v>
      </c>
      <c r="U196" s="56">
        <f t="shared" si="37"/>
        <v>972193.17</v>
      </c>
      <c r="V196" s="56"/>
      <c r="W196" s="54">
        <f t="shared" si="35"/>
        <v>972193.17</v>
      </c>
    </row>
    <row r="197" spans="1:23" s="42" customFormat="1" ht="75">
      <c r="A197" s="48"/>
      <c r="B197" s="16"/>
      <c r="C197" s="17" t="s">
        <v>147</v>
      </c>
      <c r="D197" s="74" t="s">
        <v>96</v>
      </c>
      <c r="E197" s="17" t="s">
        <v>346</v>
      </c>
      <c r="F197" s="75" t="s">
        <v>230</v>
      </c>
      <c r="G197" s="54"/>
      <c r="H197" s="55"/>
      <c r="I197" s="55"/>
      <c r="J197" s="55"/>
      <c r="K197" s="55"/>
      <c r="L197" s="55"/>
      <c r="M197" s="55"/>
      <c r="N197" s="54">
        <f t="shared" si="36"/>
        <v>1502.62</v>
      </c>
      <c r="O197" s="55"/>
      <c r="P197" s="55"/>
      <c r="Q197" s="55"/>
      <c r="R197" s="55"/>
      <c r="S197" s="55"/>
      <c r="T197" s="56">
        <v>1502.62</v>
      </c>
      <c r="U197" s="56">
        <f t="shared" si="37"/>
        <v>1502.62</v>
      </c>
      <c r="V197" s="56"/>
      <c r="W197" s="54">
        <f t="shared" si="35"/>
        <v>1502.62</v>
      </c>
    </row>
    <row r="198" spans="1:23" s="42" customFormat="1" ht="30">
      <c r="A198" s="48"/>
      <c r="B198" s="16"/>
      <c r="C198" s="17" t="s">
        <v>149</v>
      </c>
      <c r="D198" s="17" t="s">
        <v>295</v>
      </c>
      <c r="E198" s="17" t="s">
        <v>351</v>
      </c>
      <c r="F198" s="20" t="s">
        <v>242</v>
      </c>
      <c r="G198" s="54"/>
      <c r="H198" s="55"/>
      <c r="I198" s="55"/>
      <c r="J198" s="55"/>
      <c r="K198" s="55"/>
      <c r="L198" s="55"/>
      <c r="M198" s="55"/>
      <c r="N198" s="54">
        <f t="shared" si="36"/>
        <v>108825.45</v>
      </c>
      <c r="O198" s="55"/>
      <c r="P198" s="55"/>
      <c r="Q198" s="55"/>
      <c r="R198" s="55"/>
      <c r="S198" s="55"/>
      <c r="T198" s="56">
        <v>108825.45</v>
      </c>
      <c r="U198" s="56">
        <f t="shared" si="37"/>
        <v>108825.45</v>
      </c>
      <c r="V198" s="56"/>
      <c r="W198" s="54">
        <f t="shared" si="35"/>
        <v>108825.45</v>
      </c>
    </row>
    <row r="199" spans="1:23" s="42" customFormat="1" ht="15">
      <c r="A199" s="48"/>
      <c r="B199" s="16"/>
      <c r="C199" s="17" t="s">
        <v>148</v>
      </c>
      <c r="D199" s="17" t="s">
        <v>308</v>
      </c>
      <c r="E199" s="17" t="s">
        <v>350</v>
      </c>
      <c r="F199" s="12" t="s">
        <v>359</v>
      </c>
      <c r="G199" s="54"/>
      <c r="H199" s="55"/>
      <c r="I199" s="55"/>
      <c r="J199" s="55"/>
      <c r="K199" s="55"/>
      <c r="L199" s="55"/>
      <c r="M199" s="55"/>
      <c r="N199" s="54">
        <f t="shared" si="36"/>
        <v>5862</v>
      </c>
      <c r="O199" s="55"/>
      <c r="P199" s="55"/>
      <c r="Q199" s="55"/>
      <c r="R199" s="55"/>
      <c r="S199" s="55"/>
      <c r="T199" s="56">
        <v>5862</v>
      </c>
      <c r="U199" s="56">
        <f t="shared" si="37"/>
        <v>5862</v>
      </c>
      <c r="V199" s="56"/>
      <c r="W199" s="54">
        <f t="shared" si="35"/>
        <v>5862</v>
      </c>
    </row>
    <row r="200" spans="1:23" s="42" customFormat="1" ht="36" customHeight="1">
      <c r="A200" s="48"/>
      <c r="B200" s="16"/>
      <c r="C200" s="17" t="s">
        <v>150</v>
      </c>
      <c r="D200" s="17" t="s">
        <v>502</v>
      </c>
      <c r="E200" s="17" t="s">
        <v>347</v>
      </c>
      <c r="F200" s="20" t="s">
        <v>190</v>
      </c>
      <c r="G200" s="54"/>
      <c r="H200" s="55"/>
      <c r="I200" s="55"/>
      <c r="J200" s="55"/>
      <c r="K200" s="55"/>
      <c r="L200" s="55"/>
      <c r="M200" s="55"/>
      <c r="N200" s="54">
        <f t="shared" si="36"/>
        <v>2384258.84</v>
      </c>
      <c r="O200" s="55"/>
      <c r="P200" s="55"/>
      <c r="Q200" s="55"/>
      <c r="R200" s="55"/>
      <c r="S200" s="55"/>
      <c r="T200" s="56">
        <v>2384258.84</v>
      </c>
      <c r="U200" s="56">
        <f t="shared" si="37"/>
        <v>2384258.84</v>
      </c>
      <c r="V200" s="56"/>
      <c r="W200" s="54">
        <f t="shared" si="35"/>
        <v>2384258.84</v>
      </c>
    </row>
    <row r="201" spans="1:23" s="42" customFormat="1" ht="60">
      <c r="A201" s="48"/>
      <c r="B201" s="16"/>
      <c r="C201" s="17" t="s">
        <v>151</v>
      </c>
      <c r="D201" s="17" t="s">
        <v>536</v>
      </c>
      <c r="E201" s="17">
        <v>921</v>
      </c>
      <c r="F201" s="20" t="s">
        <v>243</v>
      </c>
      <c r="G201" s="54"/>
      <c r="H201" s="55"/>
      <c r="I201" s="55"/>
      <c r="J201" s="55"/>
      <c r="K201" s="55"/>
      <c r="L201" s="55"/>
      <c r="M201" s="55"/>
      <c r="N201" s="54">
        <f t="shared" si="36"/>
        <v>99297.73</v>
      </c>
      <c r="O201" s="55"/>
      <c r="P201" s="55"/>
      <c r="Q201" s="55"/>
      <c r="R201" s="55"/>
      <c r="S201" s="55"/>
      <c r="T201" s="56">
        <v>99297.73</v>
      </c>
      <c r="U201" s="56">
        <f t="shared" si="37"/>
        <v>99297.73</v>
      </c>
      <c r="V201" s="56"/>
      <c r="W201" s="54">
        <f t="shared" si="35"/>
        <v>99297.73</v>
      </c>
    </row>
    <row r="202" spans="1:23" s="42" customFormat="1" ht="60">
      <c r="A202" s="48"/>
      <c r="B202" s="16"/>
      <c r="C202" s="17" t="s">
        <v>152</v>
      </c>
      <c r="D202" s="17" t="s">
        <v>227</v>
      </c>
      <c r="E202" s="17">
        <v>456</v>
      </c>
      <c r="F202" s="12" t="s">
        <v>451</v>
      </c>
      <c r="G202" s="54"/>
      <c r="H202" s="55"/>
      <c r="I202" s="55"/>
      <c r="J202" s="55"/>
      <c r="K202" s="55"/>
      <c r="L202" s="55"/>
      <c r="M202" s="55"/>
      <c r="N202" s="54">
        <f t="shared" si="36"/>
        <v>471102.42</v>
      </c>
      <c r="O202" s="55"/>
      <c r="P202" s="55"/>
      <c r="Q202" s="55"/>
      <c r="R202" s="55"/>
      <c r="S202" s="55"/>
      <c r="T202" s="56">
        <v>471102.42</v>
      </c>
      <c r="U202" s="56">
        <f t="shared" si="37"/>
        <v>471102.42</v>
      </c>
      <c r="V202" s="56">
        <v>58910.16</v>
      </c>
      <c r="W202" s="54">
        <f t="shared" si="35"/>
        <v>471102.42</v>
      </c>
    </row>
    <row r="203" spans="1:23" s="42" customFormat="1" ht="15">
      <c r="A203" s="48"/>
      <c r="B203" s="16"/>
      <c r="C203" s="17" t="s">
        <v>153</v>
      </c>
      <c r="D203" s="17" t="s">
        <v>517</v>
      </c>
      <c r="E203" s="17" t="s">
        <v>26</v>
      </c>
      <c r="F203" s="20" t="s">
        <v>1</v>
      </c>
      <c r="G203" s="54">
        <f>SUM(G204:G206)</f>
        <v>1714000</v>
      </c>
      <c r="H203" s="55">
        <f>SUM(H204:H206)</f>
        <v>1714000</v>
      </c>
      <c r="I203" s="55"/>
      <c r="J203" s="55"/>
      <c r="K203" s="55"/>
      <c r="L203" s="55"/>
      <c r="M203" s="55"/>
      <c r="N203" s="54">
        <f t="shared" si="36"/>
        <v>1345116.33</v>
      </c>
      <c r="O203" s="55"/>
      <c r="P203" s="55"/>
      <c r="Q203" s="55"/>
      <c r="R203" s="55"/>
      <c r="S203" s="55"/>
      <c r="T203" s="55">
        <v>1345116.33</v>
      </c>
      <c r="U203" s="55">
        <v>1345116.33</v>
      </c>
      <c r="V203" s="55"/>
      <c r="W203" s="54">
        <f t="shared" si="35"/>
        <v>3059116.33</v>
      </c>
    </row>
    <row r="204" spans="1:23" s="42" customFormat="1" ht="30">
      <c r="A204" s="48"/>
      <c r="B204" s="16"/>
      <c r="C204" s="17"/>
      <c r="D204" s="16"/>
      <c r="E204" s="16"/>
      <c r="F204" s="44" t="s">
        <v>61</v>
      </c>
      <c r="G204" s="54">
        <f>H204+M204</f>
        <v>1468800</v>
      </c>
      <c r="H204" s="56">
        <f>203500+1265300</f>
        <v>1468800</v>
      </c>
      <c r="I204" s="55"/>
      <c r="J204" s="55"/>
      <c r="K204" s="55"/>
      <c r="L204" s="55"/>
      <c r="M204" s="55"/>
      <c r="N204" s="54">
        <f t="shared" si="36"/>
        <v>27134.54</v>
      </c>
      <c r="O204" s="55"/>
      <c r="P204" s="55"/>
      <c r="Q204" s="55"/>
      <c r="R204" s="55"/>
      <c r="S204" s="55"/>
      <c r="T204" s="56">
        <v>27134.54</v>
      </c>
      <c r="U204" s="56">
        <f>T204</f>
        <v>27134.54</v>
      </c>
      <c r="V204" s="55"/>
      <c r="W204" s="54">
        <f t="shared" si="35"/>
        <v>1495934.54</v>
      </c>
    </row>
    <row r="205" spans="1:23" s="42" customFormat="1" ht="30">
      <c r="A205" s="48"/>
      <c r="B205" s="16"/>
      <c r="C205" s="17"/>
      <c r="D205" s="16"/>
      <c r="E205" s="16"/>
      <c r="F205" s="44" t="s">
        <v>191</v>
      </c>
      <c r="G205" s="54"/>
      <c r="H205" s="56"/>
      <c r="I205" s="55"/>
      <c r="J205" s="55"/>
      <c r="K205" s="55"/>
      <c r="L205" s="55"/>
      <c r="M205" s="55"/>
      <c r="N205" s="54">
        <f t="shared" si="36"/>
        <v>779862.72</v>
      </c>
      <c r="O205" s="55"/>
      <c r="P205" s="55"/>
      <c r="Q205" s="55"/>
      <c r="R205" s="55"/>
      <c r="S205" s="55"/>
      <c r="T205" s="56">
        <v>779862.72</v>
      </c>
      <c r="U205" s="56">
        <f>T205</f>
        <v>779862.72</v>
      </c>
      <c r="V205" s="55"/>
      <c r="W205" s="54">
        <f t="shared" si="35"/>
        <v>779862.72</v>
      </c>
    </row>
    <row r="206" spans="1:23" s="42" customFormat="1" ht="30">
      <c r="A206" s="48"/>
      <c r="B206" s="16"/>
      <c r="C206" s="17"/>
      <c r="D206" s="16"/>
      <c r="E206" s="16"/>
      <c r="F206" s="44" t="s">
        <v>62</v>
      </c>
      <c r="G206" s="54">
        <f>H206+M206</f>
        <v>245200</v>
      </c>
      <c r="H206" s="56">
        <f>64200+181000</f>
        <v>245200</v>
      </c>
      <c r="I206" s="55"/>
      <c r="J206" s="55"/>
      <c r="K206" s="55"/>
      <c r="L206" s="55"/>
      <c r="M206" s="55"/>
      <c r="N206" s="54"/>
      <c r="O206" s="55"/>
      <c r="P206" s="55"/>
      <c r="Q206" s="55"/>
      <c r="R206" s="55"/>
      <c r="S206" s="55"/>
      <c r="T206" s="56"/>
      <c r="U206" s="56"/>
      <c r="V206" s="55"/>
      <c r="W206" s="54">
        <f t="shared" si="35"/>
        <v>245200</v>
      </c>
    </row>
    <row r="207" spans="1:23" s="42" customFormat="1" ht="15" hidden="1">
      <c r="A207" s="48"/>
      <c r="B207" s="16"/>
      <c r="C207" s="17"/>
      <c r="D207" s="17" t="s">
        <v>497</v>
      </c>
      <c r="E207" s="17"/>
      <c r="F207" s="12"/>
      <c r="G207" s="54"/>
      <c r="H207" s="55"/>
      <c r="I207" s="55"/>
      <c r="J207" s="55"/>
      <c r="K207" s="55"/>
      <c r="L207" s="55"/>
      <c r="M207" s="55"/>
      <c r="N207" s="54"/>
      <c r="O207" s="55"/>
      <c r="P207" s="55"/>
      <c r="Q207" s="55"/>
      <c r="R207" s="55"/>
      <c r="S207" s="55"/>
      <c r="T207" s="55"/>
      <c r="U207" s="55"/>
      <c r="V207" s="55"/>
      <c r="W207" s="54">
        <f t="shared" si="35"/>
        <v>0</v>
      </c>
    </row>
    <row r="208" spans="1:23" s="68" customFormat="1" ht="32.25" customHeight="1">
      <c r="A208" s="67"/>
      <c r="B208" s="16"/>
      <c r="C208" s="21" t="s">
        <v>154</v>
      </c>
      <c r="D208" s="21"/>
      <c r="E208" s="21"/>
      <c r="F208" s="22" t="s">
        <v>15</v>
      </c>
      <c r="G208" s="53">
        <f>G210+G211+G219</f>
        <v>6536996</v>
      </c>
      <c r="H208" s="53">
        <f>H210+H211+H219</f>
        <v>6536996</v>
      </c>
      <c r="I208" s="53">
        <f>I210+I211</f>
        <v>3175942</v>
      </c>
      <c r="J208" s="53"/>
      <c r="K208" s="53"/>
      <c r="L208" s="53">
        <f>L210+L211</f>
        <v>1001359</v>
      </c>
      <c r="M208" s="53"/>
      <c r="N208" s="53">
        <f>N210+N211</f>
        <v>29026174.57</v>
      </c>
      <c r="O208" s="53"/>
      <c r="P208" s="53"/>
      <c r="Q208" s="53"/>
      <c r="R208" s="53"/>
      <c r="S208" s="53"/>
      <c r="T208" s="53">
        <f>T210+T211</f>
        <v>29026174.57</v>
      </c>
      <c r="U208" s="53">
        <f>U210+U211</f>
        <v>29026174.57</v>
      </c>
      <c r="V208" s="53">
        <f>V210+V211</f>
        <v>24096174.42</v>
      </c>
      <c r="W208" s="53">
        <f>W210+W211+W219</f>
        <v>35563170.57</v>
      </c>
    </row>
    <row r="209" spans="1:23" s="68" customFormat="1" ht="32.25" customHeight="1">
      <c r="A209" s="67"/>
      <c r="B209" s="16"/>
      <c r="C209" s="21" t="s">
        <v>155</v>
      </c>
      <c r="D209" s="21"/>
      <c r="E209" s="21"/>
      <c r="F209" s="22" t="s">
        <v>15</v>
      </c>
      <c r="G209" s="53">
        <f>G210+G211</f>
        <v>6536996</v>
      </c>
      <c r="H209" s="53">
        <f>H210+H211+H219</f>
        <v>6536996</v>
      </c>
      <c r="I209" s="53">
        <f aca="true" t="shared" si="38" ref="I209:W209">I210+I211</f>
        <v>3175942</v>
      </c>
      <c r="J209" s="53"/>
      <c r="K209" s="53"/>
      <c r="L209" s="53">
        <f t="shared" si="38"/>
        <v>1001359</v>
      </c>
      <c r="M209" s="53"/>
      <c r="N209" s="53">
        <f t="shared" si="38"/>
        <v>29026174.57</v>
      </c>
      <c r="O209" s="53"/>
      <c r="P209" s="53"/>
      <c r="Q209" s="53"/>
      <c r="R209" s="53"/>
      <c r="S209" s="53"/>
      <c r="T209" s="53">
        <f t="shared" si="38"/>
        <v>29026174.57</v>
      </c>
      <c r="U209" s="53">
        <f t="shared" si="38"/>
        <v>29026174.57</v>
      </c>
      <c r="V209" s="53">
        <f t="shared" si="38"/>
        <v>24096174.42</v>
      </c>
      <c r="W209" s="53">
        <f t="shared" si="38"/>
        <v>35563170.57</v>
      </c>
    </row>
    <row r="210" spans="1:23" s="42" customFormat="1" ht="60">
      <c r="A210" s="48"/>
      <c r="B210" s="16" t="s">
        <v>505</v>
      </c>
      <c r="C210" s="17" t="s">
        <v>156</v>
      </c>
      <c r="D210" s="17" t="s">
        <v>499</v>
      </c>
      <c r="E210" s="17" t="s">
        <v>494</v>
      </c>
      <c r="F210" s="12" t="s">
        <v>167</v>
      </c>
      <c r="G210" s="54">
        <f>H210+M210</f>
        <v>3838596</v>
      </c>
      <c r="H210" s="56">
        <v>3838596</v>
      </c>
      <c r="I210" s="56">
        <v>3175942</v>
      </c>
      <c r="J210" s="56"/>
      <c r="K210" s="56"/>
      <c r="L210" s="56">
        <v>177708</v>
      </c>
      <c r="M210" s="55"/>
      <c r="N210" s="54"/>
      <c r="O210" s="55"/>
      <c r="P210" s="55"/>
      <c r="Q210" s="55"/>
      <c r="R210" s="55"/>
      <c r="S210" s="55"/>
      <c r="T210" s="55"/>
      <c r="U210" s="55"/>
      <c r="V210" s="55"/>
      <c r="W210" s="54">
        <f>G210+N210</f>
        <v>3838596</v>
      </c>
    </row>
    <row r="211" spans="1:23" s="42" customFormat="1" ht="15">
      <c r="A211" s="48"/>
      <c r="B211" s="9"/>
      <c r="C211" s="11">
        <v>7318600</v>
      </c>
      <c r="D211" s="17" t="s">
        <v>517</v>
      </c>
      <c r="E211" s="17" t="s">
        <v>26</v>
      </c>
      <c r="F211" s="20" t="s">
        <v>1</v>
      </c>
      <c r="G211" s="54">
        <f>H211+M211</f>
        <v>2698400</v>
      </c>
      <c r="H211" s="55">
        <f>SUM(H212:H216)</f>
        <v>2698400</v>
      </c>
      <c r="I211" s="55"/>
      <c r="J211" s="55"/>
      <c r="K211" s="55"/>
      <c r="L211" s="55">
        <f>SUM(L212:L216)</f>
        <v>823651</v>
      </c>
      <c r="M211" s="55"/>
      <c r="N211" s="54">
        <f>SUM(N212:N218)+28941225.28</f>
        <v>29026174.57</v>
      </c>
      <c r="O211" s="55"/>
      <c r="P211" s="55"/>
      <c r="Q211" s="55"/>
      <c r="R211" s="55"/>
      <c r="S211" s="55"/>
      <c r="T211" s="55">
        <f>T212+T213+T214+T215+T216+T218+28941225.28</f>
        <v>29026174.57</v>
      </c>
      <c r="U211" s="55">
        <f>U212+U213+U214+U215+U216+U218+28941225.28</f>
        <v>29026174.57</v>
      </c>
      <c r="V211" s="55">
        <v>24096174.42</v>
      </c>
      <c r="W211" s="54">
        <f aca="true" t="shared" si="39" ref="W211:W219">G211+N211</f>
        <v>31724574.57</v>
      </c>
    </row>
    <row r="212" spans="1:23" s="42" customFormat="1" ht="45">
      <c r="A212" s="48"/>
      <c r="B212" s="9"/>
      <c r="C212" s="11"/>
      <c r="D212" s="16"/>
      <c r="E212" s="16"/>
      <c r="F212" s="44" t="s">
        <v>63</v>
      </c>
      <c r="G212" s="54">
        <f aca="true" t="shared" si="40" ref="G212:G219">H212+M212</f>
        <v>1662500</v>
      </c>
      <c r="H212" s="56">
        <v>1662500</v>
      </c>
      <c r="I212" s="56"/>
      <c r="J212" s="56"/>
      <c r="K212" s="56"/>
      <c r="L212" s="56">
        <v>823651</v>
      </c>
      <c r="M212" s="55"/>
      <c r="N212" s="54">
        <f>O212+T212</f>
        <v>5.7</v>
      </c>
      <c r="O212" s="55"/>
      <c r="P212" s="55"/>
      <c r="Q212" s="55"/>
      <c r="R212" s="55"/>
      <c r="S212" s="55"/>
      <c r="T212" s="59">
        <v>5.7</v>
      </c>
      <c r="U212" s="59">
        <v>5.7</v>
      </c>
      <c r="V212" s="55"/>
      <c r="W212" s="54">
        <f t="shared" si="39"/>
        <v>1662505.7</v>
      </c>
    </row>
    <row r="213" spans="1:23" s="42" customFormat="1" ht="30">
      <c r="A213" s="48"/>
      <c r="B213" s="9"/>
      <c r="C213" s="11"/>
      <c r="D213" s="16"/>
      <c r="E213" s="16"/>
      <c r="F213" s="45" t="s">
        <v>64</v>
      </c>
      <c r="G213" s="54">
        <f t="shared" si="40"/>
        <v>650000</v>
      </c>
      <c r="H213" s="56">
        <v>650000</v>
      </c>
      <c r="I213" s="56"/>
      <c r="J213" s="56"/>
      <c r="K213" s="56"/>
      <c r="L213" s="56"/>
      <c r="M213" s="55"/>
      <c r="N213" s="54"/>
      <c r="O213" s="55"/>
      <c r="P213" s="55"/>
      <c r="Q213" s="55"/>
      <c r="R213" s="55"/>
      <c r="S213" s="55"/>
      <c r="T213" s="59"/>
      <c r="U213" s="59"/>
      <c r="V213" s="55"/>
      <c r="W213" s="54">
        <f t="shared" si="39"/>
        <v>650000</v>
      </c>
    </row>
    <row r="214" spans="1:23" s="42" customFormat="1" ht="60">
      <c r="A214" s="48"/>
      <c r="B214" s="9"/>
      <c r="C214" s="11"/>
      <c r="D214" s="16"/>
      <c r="E214" s="16"/>
      <c r="F214" s="45" t="s">
        <v>65</v>
      </c>
      <c r="G214" s="54">
        <f t="shared" si="40"/>
        <v>220000</v>
      </c>
      <c r="H214" s="56">
        <v>220000</v>
      </c>
      <c r="I214" s="56"/>
      <c r="J214" s="56"/>
      <c r="K214" s="56"/>
      <c r="L214" s="56"/>
      <c r="M214" s="55"/>
      <c r="N214" s="54">
        <f>O214+T214</f>
        <v>27027.59</v>
      </c>
      <c r="O214" s="55"/>
      <c r="P214" s="55"/>
      <c r="Q214" s="55"/>
      <c r="R214" s="55"/>
      <c r="S214" s="55"/>
      <c r="T214" s="59">
        <v>27027.59</v>
      </c>
      <c r="U214" s="59">
        <v>27027.59</v>
      </c>
      <c r="V214" s="55"/>
      <c r="W214" s="54">
        <f t="shared" si="39"/>
        <v>247027.59</v>
      </c>
    </row>
    <row r="215" spans="1:23" s="42" customFormat="1" ht="30">
      <c r="A215" s="48"/>
      <c r="B215" s="9"/>
      <c r="C215" s="11"/>
      <c r="D215" s="16"/>
      <c r="E215" s="16"/>
      <c r="F215" s="45" t="s">
        <v>66</v>
      </c>
      <c r="G215" s="54">
        <f t="shared" si="40"/>
        <v>36000</v>
      </c>
      <c r="H215" s="56">
        <v>36000</v>
      </c>
      <c r="I215" s="56"/>
      <c r="J215" s="56"/>
      <c r="K215" s="56"/>
      <c r="L215" s="56"/>
      <c r="M215" s="55"/>
      <c r="N215" s="54"/>
      <c r="O215" s="55"/>
      <c r="P215" s="55"/>
      <c r="Q215" s="55"/>
      <c r="R215" s="55"/>
      <c r="S215" s="55"/>
      <c r="T215" s="59"/>
      <c r="U215" s="59"/>
      <c r="V215" s="55"/>
      <c r="W215" s="54">
        <f t="shared" si="39"/>
        <v>36000</v>
      </c>
    </row>
    <row r="216" spans="1:23" s="42" customFormat="1" ht="46.5" customHeight="1">
      <c r="A216" s="48"/>
      <c r="B216" s="9"/>
      <c r="C216" s="11"/>
      <c r="D216" s="16"/>
      <c r="E216" s="16"/>
      <c r="F216" s="45" t="s">
        <v>67</v>
      </c>
      <c r="G216" s="54">
        <f t="shared" si="40"/>
        <v>129900</v>
      </c>
      <c r="H216" s="56">
        <v>129900</v>
      </c>
      <c r="I216" s="56"/>
      <c r="J216" s="56"/>
      <c r="K216" s="56"/>
      <c r="L216" s="56"/>
      <c r="M216" s="55"/>
      <c r="N216" s="54"/>
      <c r="O216" s="55"/>
      <c r="P216" s="55"/>
      <c r="Q216" s="55"/>
      <c r="R216" s="55"/>
      <c r="S216" s="55"/>
      <c r="T216" s="59"/>
      <c r="U216" s="59"/>
      <c r="V216" s="55"/>
      <c r="W216" s="54">
        <f t="shared" si="39"/>
        <v>129900</v>
      </c>
    </row>
    <row r="217" spans="1:23" s="42" customFormat="1" ht="28.5" customHeight="1" hidden="1">
      <c r="A217" s="48"/>
      <c r="B217" s="9"/>
      <c r="C217" s="11"/>
      <c r="D217" s="16"/>
      <c r="E217" s="16"/>
      <c r="F217" s="45" t="s">
        <v>480</v>
      </c>
      <c r="G217" s="120"/>
      <c r="H217" s="118"/>
      <c r="I217" s="118"/>
      <c r="J217" s="118"/>
      <c r="K217" s="118"/>
      <c r="L217" s="118"/>
      <c r="M217" s="121"/>
      <c r="N217" s="123">
        <f>O217+T217</f>
        <v>0</v>
      </c>
      <c r="O217" s="121"/>
      <c r="P217" s="55"/>
      <c r="Q217" s="55"/>
      <c r="R217" s="55"/>
      <c r="S217" s="55"/>
      <c r="T217" s="127">
        <f>U217</f>
        <v>0</v>
      </c>
      <c r="U217" s="127"/>
      <c r="V217" s="126"/>
      <c r="W217" s="54">
        <f t="shared" si="39"/>
        <v>0</v>
      </c>
    </row>
    <row r="218" spans="1:23" s="42" customFormat="1" ht="44.25" customHeight="1">
      <c r="A218" s="48"/>
      <c r="B218" s="9"/>
      <c r="C218" s="11"/>
      <c r="D218" s="16"/>
      <c r="E218" s="16"/>
      <c r="F218" s="45" t="s">
        <v>453</v>
      </c>
      <c r="G218" s="54"/>
      <c r="H218" s="56"/>
      <c r="I218" s="56"/>
      <c r="J218" s="56"/>
      <c r="K218" s="56"/>
      <c r="L218" s="56"/>
      <c r="M218" s="55"/>
      <c r="N218" s="54">
        <f>O218+T218</f>
        <v>57916</v>
      </c>
      <c r="O218" s="55"/>
      <c r="P218" s="55"/>
      <c r="Q218" s="55"/>
      <c r="R218" s="55"/>
      <c r="S218" s="55"/>
      <c r="T218" s="59">
        <v>57916</v>
      </c>
      <c r="U218" s="59">
        <v>57916</v>
      </c>
      <c r="V218" s="55"/>
      <c r="W218" s="54">
        <f t="shared" si="39"/>
        <v>57916</v>
      </c>
    </row>
    <row r="219" spans="1:23" s="42" customFormat="1" ht="85.5" hidden="1">
      <c r="A219" s="48"/>
      <c r="B219" s="16"/>
      <c r="C219" s="9">
        <v>7318098</v>
      </c>
      <c r="D219" s="16" t="s">
        <v>450</v>
      </c>
      <c r="E219" s="16" t="s">
        <v>501</v>
      </c>
      <c r="F219" s="10" t="s">
        <v>439</v>
      </c>
      <c r="G219" s="54">
        <f t="shared" si="40"/>
        <v>0</v>
      </c>
      <c r="H219" s="55"/>
      <c r="I219" s="55"/>
      <c r="J219" s="55"/>
      <c r="K219" s="55"/>
      <c r="L219" s="55"/>
      <c r="M219" s="55"/>
      <c r="N219" s="54"/>
      <c r="O219" s="55"/>
      <c r="P219" s="55"/>
      <c r="Q219" s="55"/>
      <c r="R219" s="55"/>
      <c r="S219" s="55"/>
      <c r="T219" s="55"/>
      <c r="U219" s="55"/>
      <c r="V219" s="55"/>
      <c r="W219" s="54">
        <f t="shared" si="39"/>
        <v>0</v>
      </c>
    </row>
    <row r="220" spans="1:23" s="68" customFormat="1" ht="28.5" customHeight="1">
      <c r="A220" s="67"/>
      <c r="B220" s="16"/>
      <c r="C220" s="21" t="s">
        <v>158</v>
      </c>
      <c r="D220" s="23"/>
      <c r="E220" s="23"/>
      <c r="F220" s="22" t="s">
        <v>157</v>
      </c>
      <c r="G220" s="53">
        <f>G222+G223+G225</f>
        <v>12082706.34</v>
      </c>
      <c r="H220" s="53">
        <f>H222+H223+H225</f>
        <v>12082706.34</v>
      </c>
      <c r="I220" s="53">
        <f>I222+I223+I225</f>
        <v>2845829</v>
      </c>
      <c r="J220" s="53"/>
      <c r="K220" s="53"/>
      <c r="L220" s="53">
        <f>L222+L223+L225</f>
        <v>155045</v>
      </c>
      <c r="M220" s="53"/>
      <c r="N220" s="53"/>
      <c r="O220" s="53"/>
      <c r="P220" s="53"/>
      <c r="Q220" s="53"/>
      <c r="R220" s="53"/>
      <c r="S220" s="53"/>
      <c r="T220" s="53"/>
      <c r="U220" s="53"/>
      <c r="V220" s="53"/>
      <c r="W220" s="53">
        <f>W222+W223+W225</f>
        <v>12082706.34</v>
      </c>
    </row>
    <row r="221" spans="1:23" s="68" customFormat="1" ht="28.5" customHeight="1">
      <c r="A221" s="67"/>
      <c r="B221" s="16"/>
      <c r="C221" s="21" t="s">
        <v>159</v>
      </c>
      <c r="D221" s="23"/>
      <c r="E221" s="23"/>
      <c r="F221" s="22" t="s">
        <v>157</v>
      </c>
      <c r="G221" s="53">
        <f>G222+G223+G225</f>
        <v>12082706.34</v>
      </c>
      <c r="H221" s="53">
        <f>H222+H223+H225</f>
        <v>12082706.34</v>
      </c>
      <c r="I221" s="53">
        <f>I222+I223+I225</f>
        <v>2845829</v>
      </c>
      <c r="J221" s="53"/>
      <c r="K221" s="53"/>
      <c r="L221" s="53">
        <f>L222+L223+L225</f>
        <v>155045</v>
      </c>
      <c r="M221" s="53"/>
      <c r="N221" s="53"/>
      <c r="O221" s="53"/>
      <c r="P221" s="53"/>
      <c r="Q221" s="53"/>
      <c r="R221" s="53"/>
      <c r="S221" s="53"/>
      <c r="T221" s="53"/>
      <c r="U221" s="53"/>
      <c r="V221" s="53"/>
      <c r="W221" s="53">
        <f>W222+W223+W225</f>
        <v>12082706.34</v>
      </c>
    </row>
    <row r="222" spans="1:23" s="42" customFormat="1" ht="60.75" customHeight="1">
      <c r="A222" s="48"/>
      <c r="B222" s="16" t="s">
        <v>505</v>
      </c>
      <c r="C222" s="17" t="s">
        <v>160</v>
      </c>
      <c r="D222" s="17" t="s">
        <v>499</v>
      </c>
      <c r="E222" s="17" t="s">
        <v>494</v>
      </c>
      <c r="F222" s="12" t="s">
        <v>167</v>
      </c>
      <c r="G222" s="54">
        <f>H222+M222</f>
        <v>3535214</v>
      </c>
      <c r="H222" s="56">
        <v>3535214</v>
      </c>
      <c r="I222" s="56">
        <v>2845829</v>
      </c>
      <c r="J222" s="56"/>
      <c r="K222" s="56"/>
      <c r="L222" s="56">
        <v>155045</v>
      </c>
      <c r="M222" s="55"/>
      <c r="N222" s="54"/>
      <c r="O222" s="55"/>
      <c r="P222" s="55"/>
      <c r="Q222" s="55"/>
      <c r="R222" s="55"/>
      <c r="S222" s="55"/>
      <c r="T222" s="55"/>
      <c r="U222" s="55"/>
      <c r="V222" s="55"/>
      <c r="W222" s="54">
        <f>G222+N222</f>
        <v>3535214</v>
      </c>
    </row>
    <row r="223" spans="1:23" s="42" customFormat="1" ht="15">
      <c r="A223" s="48"/>
      <c r="B223" s="16"/>
      <c r="C223" s="17" t="s">
        <v>162</v>
      </c>
      <c r="D223" s="17" t="s">
        <v>517</v>
      </c>
      <c r="E223" s="17" t="s">
        <v>353</v>
      </c>
      <c r="F223" s="20" t="s">
        <v>1</v>
      </c>
      <c r="G223" s="54">
        <f>H223+M223</f>
        <v>171492.34</v>
      </c>
      <c r="H223" s="56">
        <v>171492.34</v>
      </c>
      <c r="I223" s="55"/>
      <c r="J223" s="55"/>
      <c r="K223" s="55"/>
      <c r="L223" s="55"/>
      <c r="M223" s="55"/>
      <c r="N223" s="54"/>
      <c r="O223" s="55"/>
      <c r="P223" s="55"/>
      <c r="Q223" s="55"/>
      <c r="R223" s="55"/>
      <c r="S223" s="55"/>
      <c r="T223" s="55"/>
      <c r="U223" s="55"/>
      <c r="V223" s="55"/>
      <c r="W223" s="54">
        <f>G223+N223</f>
        <v>171492.34</v>
      </c>
    </row>
    <row r="224" spans="1:23" s="42" customFormat="1" ht="45">
      <c r="A224" s="48"/>
      <c r="B224" s="16"/>
      <c r="C224" s="17"/>
      <c r="D224" s="16"/>
      <c r="E224" s="17"/>
      <c r="F224" s="20" t="s">
        <v>454</v>
      </c>
      <c r="G224" s="54">
        <f>H224+M224</f>
        <v>171492.34</v>
      </c>
      <c r="H224" s="56">
        <f>H223</f>
        <v>171492.34</v>
      </c>
      <c r="I224" s="55"/>
      <c r="J224" s="55"/>
      <c r="K224" s="55"/>
      <c r="L224" s="55"/>
      <c r="M224" s="55"/>
      <c r="N224" s="54"/>
      <c r="O224" s="55"/>
      <c r="P224" s="55"/>
      <c r="Q224" s="55"/>
      <c r="R224" s="55"/>
      <c r="S224" s="55"/>
      <c r="T224" s="55"/>
      <c r="U224" s="55"/>
      <c r="V224" s="55"/>
      <c r="W224" s="54">
        <f>G224+N224</f>
        <v>171492.34</v>
      </c>
    </row>
    <row r="225" spans="1:23" s="42" customFormat="1" ht="15.75">
      <c r="A225" s="48"/>
      <c r="B225" s="16"/>
      <c r="C225" s="17" t="s">
        <v>161</v>
      </c>
      <c r="D225" s="17" t="s">
        <v>16</v>
      </c>
      <c r="E225" s="17" t="s">
        <v>352</v>
      </c>
      <c r="F225" s="12" t="s">
        <v>324</v>
      </c>
      <c r="G225" s="54">
        <f>H225+M225</f>
        <v>8376000</v>
      </c>
      <c r="H225" s="56">
        <v>8376000</v>
      </c>
      <c r="I225" s="56"/>
      <c r="J225" s="56"/>
      <c r="K225" s="56"/>
      <c r="L225" s="56"/>
      <c r="M225" s="55"/>
      <c r="N225" s="54"/>
      <c r="O225" s="55"/>
      <c r="P225" s="55"/>
      <c r="Q225" s="55"/>
      <c r="R225" s="55"/>
      <c r="S225" s="55"/>
      <c r="T225" s="55"/>
      <c r="U225" s="55"/>
      <c r="V225" s="55"/>
      <c r="W225" s="54">
        <f>G225+N225</f>
        <v>8376000</v>
      </c>
    </row>
    <row r="226" spans="1:23" s="68" customFormat="1" ht="31.5" customHeight="1">
      <c r="A226" s="67"/>
      <c r="B226" s="16"/>
      <c r="C226" s="21" t="s">
        <v>163</v>
      </c>
      <c r="D226" s="23"/>
      <c r="E226" s="23"/>
      <c r="F226" s="22" t="s">
        <v>17</v>
      </c>
      <c r="G226" s="53">
        <f>G228+G229</f>
        <v>32263400</v>
      </c>
      <c r="H226" s="53">
        <f>H228+H229</f>
        <v>32263400</v>
      </c>
      <c r="I226" s="53"/>
      <c r="J226" s="53"/>
      <c r="K226" s="53"/>
      <c r="L226" s="53"/>
      <c r="M226" s="53"/>
      <c r="N226" s="53"/>
      <c r="O226" s="53"/>
      <c r="P226" s="53"/>
      <c r="Q226" s="53"/>
      <c r="R226" s="53"/>
      <c r="S226" s="53"/>
      <c r="T226" s="53"/>
      <c r="U226" s="53"/>
      <c r="V226" s="53"/>
      <c r="W226" s="53">
        <f>W228+W229</f>
        <v>32263400</v>
      </c>
    </row>
    <row r="227" spans="1:23" s="68" customFormat="1" ht="31.5" customHeight="1">
      <c r="A227" s="67"/>
      <c r="B227" s="16"/>
      <c r="C227" s="21" t="s">
        <v>164</v>
      </c>
      <c r="D227" s="23"/>
      <c r="E227" s="23"/>
      <c r="F227" s="22" t="s">
        <v>17</v>
      </c>
      <c r="G227" s="53">
        <f>G228+G229</f>
        <v>32263400</v>
      </c>
      <c r="H227" s="53">
        <f>H228+H229</f>
        <v>32263400</v>
      </c>
      <c r="I227" s="53"/>
      <c r="J227" s="53"/>
      <c r="K227" s="53"/>
      <c r="L227" s="53"/>
      <c r="M227" s="53"/>
      <c r="N227" s="53"/>
      <c r="O227" s="53"/>
      <c r="P227" s="53"/>
      <c r="Q227" s="53"/>
      <c r="R227" s="53"/>
      <c r="S227" s="53"/>
      <c r="T227" s="53"/>
      <c r="U227" s="53"/>
      <c r="V227" s="53"/>
      <c r="W227" s="53">
        <f>W228+W229</f>
        <v>32263400</v>
      </c>
    </row>
    <row r="228" spans="1:23" s="42" customFormat="1" ht="15">
      <c r="A228" s="48"/>
      <c r="B228" s="16"/>
      <c r="C228" s="17" t="s">
        <v>165</v>
      </c>
      <c r="D228" s="17" t="s">
        <v>18</v>
      </c>
      <c r="E228" s="17" t="s">
        <v>325</v>
      </c>
      <c r="F228" s="12" t="s">
        <v>326</v>
      </c>
      <c r="G228" s="54">
        <f>H228+M228</f>
        <v>10000000</v>
      </c>
      <c r="H228" s="56">
        <v>10000000</v>
      </c>
      <c r="I228" s="55"/>
      <c r="J228" s="55"/>
      <c r="K228" s="55"/>
      <c r="L228" s="55"/>
      <c r="M228" s="55"/>
      <c r="N228" s="54"/>
      <c r="O228" s="55"/>
      <c r="P228" s="55"/>
      <c r="Q228" s="55"/>
      <c r="R228" s="55"/>
      <c r="S228" s="55"/>
      <c r="T228" s="55"/>
      <c r="U228" s="55"/>
      <c r="V228" s="55"/>
      <c r="W228" s="54">
        <f>G228+N228</f>
        <v>10000000</v>
      </c>
    </row>
    <row r="229" spans="1:23" s="42" customFormat="1" ht="171.75" customHeight="1">
      <c r="A229" s="48"/>
      <c r="B229" s="16"/>
      <c r="C229" s="17" t="s">
        <v>166</v>
      </c>
      <c r="D229" s="17" t="s">
        <v>356</v>
      </c>
      <c r="E229" s="17" t="s">
        <v>357</v>
      </c>
      <c r="F229" s="30" t="s">
        <v>244</v>
      </c>
      <c r="G229" s="54">
        <f>H229+M229</f>
        <v>22263400</v>
      </c>
      <c r="H229" s="56">
        <v>22263400</v>
      </c>
      <c r="I229" s="55"/>
      <c r="J229" s="55"/>
      <c r="K229" s="55"/>
      <c r="L229" s="55"/>
      <c r="M229" s="55"/>
      <c r="N229" s="54"/>
      <c r="O229" s="55"/>
      <c r="P229" s="55"/>
      <c r="Q229" s="55"/>
      <c r="R229" s="55"/>
      <c r="S229" s="55"/>
      <c r="T229" s="55"/>
      <c r="U229" s="55"/>
      <c r="V229" s="55"/>
      <c r="W229" s="54">
        <f>G229+N229</f>
        <v>22263400</v>
      </c>
    </row>
    <row r="230" spans="1:23" s="42" customFormat="1" ht="15" hidden="1">
      <c r="A230" s="48"/>
      <c r="B230" s="16"/>
      <c r="C230" s="17"/>
      <c r="D230" s="17"/>
      <c r="E230" s="17"/>
      <c r="F230" s="12"/>
      <c r="G230" s="54"/>
      <c r="H230" s="55"/>
      <c r="I230" s="55"/>
      <c r="J230" s="55"/>
      <c r="K230" s="55"/>
      <c r="L230" s="55"/>
      <c r="M230" s="55"/>
      <c r="N230" s="54"/>
      <c r="O230" s="55"/>
      <c r="P230" s="55"/>
      <c r="Q230" s="55"/>
      <c r="R230" s="55"/>
      <c r="S230" s="55"/>
      <c r="T230" s="55"/>
      <c r="U230" s="55"/>
      <c r="V230" s="55"/>
      <c r="W230" s="54">
        <f>G230+N230</f>
        <v>0</v>
      </c>
    </row>
    <row r="231" spans="1:23" s="42" customFormat="1" ht="15" hidden="1">
      <c r="A231" s="48"/>
      <c r="B231" s="16"/>
      <c r="C231" s="17"/>
      <c r="D231" s="17"/>
      <c r="E231" s="17"/>
      <c r="F231" s="12"/>
      <c r="G231" s="54"/>
      <c r="H231" s="55"/>
      <c r="I231" s="55"/>
      <c r="J231" s="55"/>
      <c r="K231" s="55"/>
      <c r="L231" s="55"/>
      <c r="M231" s="55"/>
      <c r="N231" s="54"/>
      <c r="O231" s="55"/>
      <c r="P231" s="55"/>
      <c r="Q231" s="55"/>
      <c r="R231" s="55"/>
      <c r="S231" s="55"/>
      <c r="T231" s="55"/>
      <c r="U231" s="55"/>
      <c r="V231" s="55"/>
      <c r="W231" s="54">
        <f>G231+N231</f>
        <v>0</v>
      </c>
    </row>
    <row r="232" spans="1:23" s="41" customFormat="1" ht="25.5" customHeight="1">
      <c r="A232" s="40"/>
      <c r="B232" s="36"/>
      <c r="C232" s="37"/>
      <c r="D232" s="37"/>
      <c r="E232" s="38"/>
      <c r="F232" s="39" t="s">
        <v>53</v>
      </c>
      <c r="G232" s="60">
        <f aca="true" t="shared" si="41" ref="G232:L232">G9+G24+G27+G75+G97+G165+G192+G208+G220+G226</f>
        <v>1165167911.6499999</v>
      </c>
      <c r="H232" s="60">
        <f t="shared" si="41"/>
        <v>1165167911.6499999</v>
      </c>
      <c r="I232" s="60">
        <f t="shared" si="41"/>
        <v>507335565</v>
      </c>
      <c r="J232" s="60">
        <f t="shared" si="41"/>
        <v>12548358</v>
      </c>
      <c r="K232" s="60">
        <f t="shared" si="41"/>
        <v>25342112</v>
      </c>
      <c r="L232" s="60">
        <f t="shared" si="41"/>
        <v>96283539.69000001</v>
      </c>
      <c r="M232" s="60"/>
      <c r="N232" s="60">
        <f aca="true" t="shared" si="42" ref="N232:W232">N9+N24+N27+N75+N97+N165+N192+N208+N220+N226</f>
        <v>99597333.35</v>
      </c>
      <c r="O232" s="60">
        <f t="shared" si="42"/>
        <v>48870295.8</v>
      </c>
      <c r="P232" s="60">
        <f t="shared" si="42"/>
        <v>15032989</v>
      </c>
      <c r="Q232" s="60">
        <f t="shared" si="42"/>
        <v>3467000</v>
      </c>
      <c r="R232" s="60">
        <f t="shared" si="42"/>
        <v>15271030</v>
      </c>
      <c r="S232" s="60">
        <f t="shared" si="42"/>
        <v>4393968</v>
      </c>
      <c r="T232" s="60">
        <f t="shared" si="42"/>
        <v>50727037.55</v>
      </c>
      <c r="U232" s="60">
        <f t="shared" si="42"/>
        <v>49002537.55</v>
      </c>
      <c r="V232" s="60">
        <f t="shared" si="42"/>
        <v>31513537.55</v>
      </c>
      <c r="W232" s="60">
        <f t="shared" si="42"/>
        <v>1264765244.9999998</v>
      </c>
    </row>
    <row r="233" spans="1:23" s="42" customFormat="1" ht="25.5" customHeight="1">
      <c r="A233" s="48"/>
      <c r="B233" s="27"/>
      <c r="C233" s="27"/>
      <c r="D233" s="27"/>
      <c r="E233" s="28"/>
      <c r="F233" s="77"/>
      <c r="G233" s="29"/>
      <c r="H233" s="29"/>
      <c r="I233" s="29"/>
      <c r="J233" s="29"/>
      <c r="K233" s="29"/>
      <c r="L233" s="29"/>
      <c r="M233" s="29"/>
      <c r="N233" s="29"/>
      <c r="O233" s="29"/>
      <c r="P233" s="29"/>
      <c r="Q233" s="29"/>
      <c r="R233" s="29"/>
      <c r="S233" s="29"/>
      <c r="T233" s="29"/>
      <c r="U233" s="29"/>
      <c r="V233" s="29"/>
      <c r="W233" s="29"/>
    </row>
    <row r="234" spans="1:23" ht="12.75" hidden="1">
      <c r="A234" s="48"/>
      <c r="B234" s="48"/>
      <c r="D234" s="48"/>
      <c r="E234" s="48"/>
      <c r="F234" s="85" t="s">
        <v>481</v>
      </c>
      <c r="G234" s="86">
        <f aca="true" t="shared" si="43" ref="G234:M234">G31+G39+G41+G79+G101+G103+G104+G32</f>
        <v>713074556</v>
      </c>
      <c r="H234" s="86">
        <f t="shared" si="43"/>
        <v>713074556</v>
      </c>
      <c r="I234" s="86">
        <f t="shared" si="43"/>
        <v>275292900</v>
      </c>
      <c r="J234" s="86">
        <f t="shared" si="43"/>
        <v>8150570</v>
      </c>
      <c r="K234" s="86">
        <f t="shared" si="43"/>
        <v>12052941</v>
      </c>
      <c r="L234" s="86">
        <f t="shared" si="43"/>
        <v>51288600</v>
      </c>
      <c r="M234" s="79">
        <f t="shared" si="43"/>
        <v>0</v>
      </c>
      <c r="N234" s="35"/>
      <c r="W234" s="35"/>
    </row>
    <row r="235" ht="12.75" hidden="1">
      <c r="G235" s="87">
        <f>G232-G234</f>
        <v>452093355.64999986</v>
      </c>
    </row>
    <row r="236" spans="1:23" s="4" customFormat="1" ht="12.75">
      <c r="A236" s="14"/>
      <c r="B236" s="52" t="s">
        <v>506</v>
      </c>
      <c r="C236" s="107"/>
      <c r="D236" s="35"/>
      <c r="E236" s="5"/>
      <c r="F236" s="5"/>
      <c r="G236" s="79"/>
      <c r="H236" s="14"/>
      <c r="I236" s="14"/>
      <c r="J236" s="14"/>
      <c r="K236" s="14"/>
      <c r="L236" s="14"/>
      <c r="M236" s="14"/>
      <c r="N236" s="35"/>
      <c r="O236" s="5"/>
      <c r="P236" s="5"/>
      <c r="Q236" s="5"/>
      <c r="R236" s="5"/>
      <c r="S236" s="5"/>
      <c r="T236" s="5"/>
      <c r="U236" s="5"/>
      <c r="V236" s="5"/>
      <c r="W236" s="35"/>
    </row>
    <row r="237" spans="1:23" s="33" customFormat="1" ht="18.75">
      <c r="A237" s="31"/>
      <c r="B237" s="31"/>
      <c r="C237" s="249" t="s">
        <v>51</v>
      </c>
      <c r="D237" s="250"/>
      <c r="E237" s="250"/>
      <c r="F237" s="250"/>
      <c r="G237" s="250"/>
      <c r="H237" s="32"/>
      <c r="I237" s="32"/>
      <c r="J237" s="32"/>
      <c r="K237" s="32"/>
      <c r="L237" s="32"/>
      <c r="M237" s="32"/>
      <c r="N237" s="32"/>
      <c r="O237" s="32"/>
      <c r="P237" s="32"/>
      <c r="Q237" s="32"/>
      <c r="R237" s="32"/>
      <c r="S237" s="32"/>
      <c r="T237" s="32"/>
      <c r="U237" s="32"/>
      <c r="V237" s="32"/>
      <c r="W237" s="32" t="s">
        <v>52</v>
      </c>
    </row>
    <row r="238" spans="1:6" ht="12.75">
      <c r="A238" s="48"/>
      <c r="B238" s="48"/>
      <c r="D238" s="48"/>
      <c r="E238" s="48"/>
      <c r="F238" s="48"/>
    </row>
    <row r="240" ht="12.75">
      <c r="F240" s="2"/>
    </row>
  </sheetData>
  <sheetProtection/>
  <mergeCells count="30">
    <mergeCell ref="M6:M8"/>
    <mergeCell ref="C237:G237"/>
    <mergeCell ref="B1:W1"/>
    <mergeCell ref="S2:X2"/>
    <mergeCell ref="B3:W3"/>
    <mergeCell ref="B5:B8"/>
    <mergeCell ref="D5:D8"/>
    <mergeCell ref="E5:E8"/>
    <mergeCell ref="F5:F8"/>
    <mergeCell ref="G6:G8"/>
    <mergeCell ref="H6:H8"/>
    <mergeCell ref="W5:W8"/>
    <mergeCell ref="P7:P8"/>
    <mergeCell ref="Q7:Q8"/>
    <mergeCell ref="R7:R8"/>
    <mergeCell ref="S7:S8"/>
    <mergeCell ref="U7:U8"/>
    <mergeCell ref="N5:V5"/>
    <mergeCell ref="N6:N8"/>
    <mergeCell ref="O6:O8"/>
    <mergeCell ref="C5:C8"/>
    <mergeCell ref="P6:S6"/>
    <mergeCell ref="T6:T8"/>
    <mergeCell ref="U6:V6"/>
    <mergeCell ref="I7:I8"/>
    <mergeCell ref="J7:J8"/>
    <mergeCell ref="K7:K8"/>
    <mergeCell ref="L7:L8"/>
    <mergeCell ref="G5:M5"/>
    <mergeCell ref="I6:L6"/>
  </mergeCells>
  <printOptions/>
  <pageMargins left="0.7086614173228347" right="0.7086614173228347" top="0.7480314960629921" bottom="0.7480314960629921" header="0.31496062992125984" footer="0.31496062992125984"/>
  <pageSetup fitToHeight="9" fitToWidth="1" horizontalDpi="600" verticalDpi="600" orientation="landscape" paperSize="9" scale="37" r:id="rId1"/>
</worksheet>
</file>

<file path=xl/worksheets/sheet2.xml><?xml version="1.0" encoding="utf-8"?>
<worksheet xmlns="http://schemas.openxmlformats.org/spreadsheetml/2006/main" xmlns:r="http://schemas.openxmlformats.org/officeDocument/2006/relationships">
  <sheetPr>
    <pageSetUpPr fitToPage="1"/>
  </sheetPr>
  <dimension ref="A1:L158"/>
  <sheetViews>
    <sheetView zoomScalePageLayoutView="0" workbookViewId="0" topLeftCell="A1">
      <selection activeCell="B1" sqref="B1:D1"/>
    </sheetView>
  </sheetViews>
  <sheetFormatPr defaultColWidth="9.33203125" defaultRowHeight="12.75"/>
  <cols>
    <col min="1" max="1" width="18" style="89" customWidth="1"/>
    <col min="2" max="2" width="76.66015625" style="90" customWidth="1"/>
    <col min="3" max="3" width="55.5" style="93" customWidth="1"/>
    <col min="4" max="4" width="48.33203125" style="89" customWidth="1"/>
    <col min="5" max="16384" width="9.33203125" style="89" customWidth="1"/>
  </cols>
  <sheetData>
    <row r="1" spans="2:4" ht="66.75" customHeight="1">
      <c r="B1" s="252" t="s">
        <v>374</v>
      </c>
      <c r="C1" s="252"/>
      <c r="D1" s="252"/>
    </row>
    <row r="2" ht="18" customHeight="1" hidden="1">
      <c r="C2" s="91"/>
    </row>
    <row r="3" spans="3:9" ht="18" customHeight="1" hidden="1">
      <c r="C3" s="91"/>
      <c r="I3" s="92"/>
    </row>
    <row r="4" ht="18" customHeight="1"/>
    <row r="5" spans="1:3" ht="56.25" customHeight="1">
      <c r="A5" s="261" t="s">
        <v>466</v>
      </c>
      <c r="B5" s="261"/>
      <c r="C5" s="261"/>
    </row>
    <row r="6" spans="1:3" ht="9" customHeight="1">
      <c r="A6" s="262"/>
      <c r="B6" s="262"/>
      <c r="C6" s="262"/>
    </row>
    <row r="7" spans="1:3" ht="49.5" customHeight="1">
      <c r="A7" s="112" t="s">
        <v>484</v>
      </c>
      <c r="B7" s="112" t="s">
        <v>467</v>
      </c>
      <c r="C7" s="112" t="s">
        <v>343</v>
      </c>
    </row>
    <row r="8" spans="1:3" ht="44.25" customHeight="1">
      <c r="A8" s="108" t="s">
        <v>468</v>
      </c>
      <c r="B8" s="94" t="s">
        <v>477</v>
      </c>
      <c r="C8" s="109" t="s">
        <v>469</v>
      </c>
    </row>
    <row r="9" spans="1:3" ht="56.25">
      <c r="A9" s="259" t="s">
        <v>470</v>
      </c>
      <c r="B9" s="263" t="s">
        <v>478</v>
      </c>
      <c r="C9" s="109" t="s">
        <v>471</v>
      </c>
    </row>
    <row r="10" spans="1:3" ht="81" customHeight="1">
      <c r="A10" s="259"/>
      <c r="B10" s="263"/>
      <c r="C10" s="109" t="s">
        <v>472</v>
      </c>
    </row>
    <row r="11" spans="1:3" ht="57.75" customHeight="1">
      <c r="A11" s="108" t="s">
        <v>473</v>
      </c>
      <c r="B11" s="94" t="s">
        <v>479</v>
      </c>
      <c r="C11" s="109" t="s">
        <v>474</v>
      </c>
    </row>
    <row r="12" spans="1:3" ht="57" customHeight="1">
      <c r="A12" s="259" t="s">
        <v>475</v>
      </c>
      <c r="B12" s="258" t="s">
        <v>476</v>
      </c>
      <c r="C12" s="110" t="s">
        <v>327</v>
      </c>
    </row>
    <row r="13" spans="1:3" ht="75" customHeight="1">
      <c r="A13" s="259"/>
      <c r="B13" s="258"/>
      <c r="C13" s="109" t="s">
        <v>329</v>
      </c>
    </row>
    <row r="14" spans="1:3" ht="54.75" customHeight="1">
      <c r="A14" s="259" t="s">
        <v>475</v>
      </c>
      <c r="B14" s="258" t="s">
        <v>330</v>
      </c>
      <c r="C14" s="110" t="s">
        <v>331</v>
      </c>
    </row>
    <row r="15" spans="1:3" ht="87.75" customHeight="1">
      <c r="A15" s="259"/>
      <c r="B15" s="258"/>
      <c r="C15" s="109" t="s">
        <v>329</v>
      </c>
    </row>
    <row r="16" spans="1:3" ht="54.75" customHeight="1">
      <c r="A16" s="259" t="s">
        <v>332</v>
      </c>
      <c r="B16" s="260" t="s">
        <v>483</v>
      </c>
      <c r="C16" s="109" t="s">
        <v>331</v>
      </c>
    </row>
    <row r="17" spans="1:3" ht="72.75" customHeight="1">
      <c r="A17" s="259"/>
      <c r="B17" s="260"/>
      <c r="C17" s="109" t="s">
        <v>472</v>
      </c>
    </row>
    <row r="18" spans="1:3" ht="45.75" customHeight="1">
      <c r="A18" s="108" t="s">
        <v>333</v>
      </c>
      <c r="B18" s="95" t="s">
        <v>334</v>
      </c>
      <c r="C18" s="109" t="s">
        <v>474</v>
      </c>
    </row>
    <row r="19" spans="1:3" ht="62.25" customHeight="1">
      <c r="A19" s="259" t="s">
        <v>335</v>
      </c>
      <c r="B19" s="260" t="s">
        <v>336</v>
      </c>
      <c r="C19" s="109" t="s">
        <v>331</v>
      </c>
    </row>
    <row r="20" spans="1:3" ht="75">
      <c r="A20" s="259"/>
      <c r="B20" s="260"/>
      <c r="C20" s="109" t="s">
        <v>472</v>
      </c>
    </row>
    <row r="21" spans="1:3" ht="37.5" hidden="1">
      <c r="A21" s="108" t="s">
        <v>337</v>
      </c>
      <c r="B21" s="95" t="s">
        <v>338</v>
      </c>
      <c r="C21" s="109"/>
    </row>
    <row r="22" spans="1:3" ht="18.75" hidden="1">
      <c r="A22" s="108"/>
      <c r="B22" s="96" t="s">
        <v>339</v>
      </c>
      <c r="C22" s="109"/>
    </row>
    <row r="23" spans="1:3" ht="56.25" hidden="1">
      <c r="A23" s="108"/>
      <c r="B23" s="97" t="s">
        <v>340</v>
      </c>
      <c r="C23" s="109" t="s">
        <v>341</v>
      </c>
    </row>
    <row r="24" spans="1:3" ht="56.25" hidden="1">
      <c r="A24" s="108"/>
      <c r="B24" s="97" t="s">
        <v>342</v>
      </c>
      <c r="C24" s="109" t="s">
        <v>341</v>
      </c>
    </row>
    <row r="25" spans="1:3" ht="37.5" hidden="1">
      <c r="A25" s="108"/>
      <c r="B25" s="97" t="s">
        <v>30</v>
      </c>
      <c r="C25" s="109" t="s">
        <v>31</v>
      </c>
    </row>
    <row r="26" spans="1:3" ht="21.75" customHeight="1" hidden="1">
      <c r="A26" s="108"/>
      <c r="B26" s="97" t="s">
        <v>339</v>
      </c>
      <c r="C26" s="109"/>
    </row>
    <row r="27" spans="1:3" ht="75" hidden="1">
      <c r="A27" s="108"/>
      <c r="B27" s="96" t="s">
        <v>32</v>
      </c>
      <c r="C27" s="109" t="s">
        <v>33</v>
      </c>
    </row>
    <row r="28" spans="1:3" ht="120.75" customHeight="1" hidden="1">
      <c r="A28" s="108"/>
      <c r="B28" s="96" t="s">
        <v>34</v>
      </c>
      <c r="C28" s="109" t="s">
        <v>35</v>
      </c>
    </row>
    <row r="29" spans="1:3" ht="60.75" customHeight="1" hidden="1">
      <c r="A29" s="108"/>
      <c r="B29" s="97" t="s">
        <v>36</v>
      </c>
      <c r="C29" s="109" t="s">
        <v>37</v>
      </c>
    </row>
    <row r="30" spans="1:3" ht="80.25" customHeight="1" hidden="1">
      <c r="A30" s="108"/>
      <c r="B30" s="97" t="s">
        <v>38</v>
      </c>
      <c r="C30" s="109" t="s">
        <v>35</v>
      </c>
    </row>
    <row r="31" spans="1:3" ht="56.25" hidden="1">
      <c r="A31" s="108"/>
      <c r="B31" s="98" t="s">
        <v>39</v>
      </c>
      <c r="C31" s="109" t="s">
        <v>40</v>
      </c>
    </row>
    <row r="32" spans="1:3" ht="56.25" hidden="1">
      <c r="A32" s="108"/>
      <c r="B32" s="99" t="s">
        <v>41</v>
      </c>
      <c r="C32" s="109" t="s">
        <v>42</v>
      </c>
    </row>
    <row r="33" spans="1:3" ht="93.75" hidden="1">
      <c r="A33" s="108"/>
      <c r="B33" s="99" t="s">
        <v>45</v>
      </c>
      <c r="C33" s="111" t="s">
        <v>46</v>
      </c>
    </row>
    <row r="34" spans="1:3" ht="75" hidden="1">
      <c r="A34" s="108" t="s">
        <v>47</v>
      </c>
      <c r="B34" s="95" t="s">
        <v>482</v>
      </c>
      <c r="C34" s="109" t="s">
        <v>31</v>
      </c>
    </row>
    <row r="35" spans="1:4" ht="55.5" customHeight="1">
      <c r="A35" s="108" t="s">
        <v>48</v>
      </c>
      <c r="B35" s="257" t="s">
        <v>49</v>
      </c>
      <c r="C35" s="110" t="s">
        <v>331</v>
      </c>
      <c r="D35" s="100"/>
    </row>
    <row r="36" spans="1:4" ht="81" customHeight="1">
      <c r="A36" s="108" t="s">
        <v>50</v>
      </c>
      <c r="B36" s="258"/>
      <c r="C36" s="109" t="s">
        <v>329</v>
      </c>
      <c r="D36" s="101"/>
    </row>
    <row r="37" spans="1:4" ht="65.25" customHeight="1">
      <c r="A37" s="102"/>
      <c r="B37" s="103"/>
      <c r="C37" s="104"/>
      <c r="D37" s="105"/>
    </row>
    <row r="38" spans="1:12" s="8" customFormat="1" ht="12.75" customHeight="1">
      <c r="A38" s="25" t="s">
        <v>51</v>
      </c>
      <c r="B38" s="26"/>
      <c r="C38" s="117" t="s">
        <v>52</v>
      </c>
      <c r="D38" s="26"/>
      <c r="E38" s="26"/>
      <c r="G38" s="2"/>
      <c r="H38" s="2"/>
      <c r="I38" s="2"/>
      <c r="J38" s="2"/>
      <c r="K38" s="2"/>
      <c r="L38" s="2"/>
    </row>
    <row r="39" spans="1:6" s="82" customFormat="1" ht="12.75">
      <c r="A39" s="81"/>
      <c r="D39" s="83"/>
      <c r="E39" s="83"/>
      <c r="F39" s="83"/>
    </row>
    <row r="40" spans="1:6" s="82" customFormat="1" ht="12.75">
      <c r="A40" s="81"/>
      <c r="D40" s="83"/>
      <c r="E40" s="83"/>
      <c r="F40" s="83"/>
    </row>
    <row r="41" spans="1:6" s="82" customFormat="1" ht="12.75">
      <c r="A41" s="114"/>
      <c r="D41" s="83"/>
      <c r="E41" s="83"/>
      <c r="F41" s="83"/>
    </row>
    <row r="42" spans="1:3" ht="12.75">
      <c r="A42" s="102"/>
      <c r="B42" s="106"/>
      <c r="C42" s="104"/>
    </row>
    <row r="43" spans="1:3" ht="12.75">
      <c r="A43" s="102"/>
      <c r="B43" s="106"/>
      <c r="C43" s="104"/>
    </row>
    <row r="44" spans="1:3" ht="12.75">
      <c r="A44" s="102"/>
      <c r="B44" s="106"/>
      <c r="C44" s="104"/>
    </row>
    <row r="45" spans="1:3" ht="12.75">
      <c r="A45" s="102"/>
      <c r="B45" s="106"/>
      <c r="C45" s="104"/>
    </row>
    <row r="46" spans="1:3" ht="12.75">
      <c r="A46" s="102"/>
      <c r="B46" s="106"/>
      <c r="C46" s="104"/>
    </row>
    <row r="47" spans="1:3" ht="12.75">
      <c r="A47" s="102"/>
      <c r="B47" s="106"/>
      <c r="C47" s="104"/>
    </row>
    <row r="48" spans="1:3" ht="12.75">
      <c r="A48" s="102"/>
      <c r="B48" s="106"/>
      <c r="C48" s="104"/>
    </row>
    <row r="49" spans="1:3" ht="12.75">
      <c r="A49" s="102"/>
      <c r="B49" s="106"/>
      <c r="C49" s="104"/>
    </row>
    <row r="50" spans="1:3" ht="12.75">
      <c r="A50" s="102"/>
      <c r="B50" s="106"/>
      <c r="C50" s="104"/>
    </row>
    <row r="51" spans="1:3" ht="12.75">
      <c r="A51" s="102"/>
      <c r="B51" s="106"/>
      <c r="C51" s="104"/>
    </row>
    <row r="52" spans="1:3" ht="12.75">
      <c r="A52" s="102"/>
      <c r="B52" s="106"/>
      <c r="C52" s="104"/>
    </row>
    <row r="53" spans="1:3" ht="12.75">
      <c r="A53" s="102"/>
      <c r="B53" s="106"/>
      <c r="C53" s="104"/>
    </row>
    <row r="54" spans="1:3" ht="12.75">
      <c r="A54" s="102"/>
      <c r="B54" s="106"/>
      <c r="C54" s="104"/>
    </row>
    <row r="55" spans="1:3" ht="12.75">
      <c r="A55" s="102"/>
      <c r="B55" s="106"/>
      <c r="C55" s="104"/>
    </row>
    <row r="56" spans="1:3" ht="12.75">
      <c r="A56" s="102"/>
      <c r="B56" s="106"/>
      <c r="C56" s="104"/>
    </row>
    <row r="57" spans="1:3" ht="12.75">
      <c r="A57" s="102"/>
      <c r="B57" s="106"/>
      <c r="C57" s="104"/>
    </row>
    <row r="58" spans="1:3" ht="12.75">
      <c r="A58" s="102"/>
      <c r="B58" s="106"/>
      <c r="C58" s="104"/>
    </row>
    <row r="59" spans="1:3" ht="12.75">
      <c r="A59" s="102"/>
      <c r="B59" s="106"/>
      <c r="C59" s="104"/>
    </row>
    <row r="60" spans="1:3" ht="12.75">
      <c r="A60" s="102"/>
      <c r="B60" s="106"/>
      <c r="C60" s="104"/>
    </row>
    <row r="61" spans="1:3" ht="12.75">
      <c r="A61" s="102"/>
      <c r="B61" s="106"/>
      <c r="C61" s="104"/>
    </row>
    <row r="62" spans="1:3" ht="12.75">
      <c r="A62" s="102"/>
      <c r="B62" s="106"/>
      <c r="C62" s="104"/>
    </row>
    <row r="63" spans="1:3" ht="12.75">
      <c r="A63" s="102"/>
      <c r="B63" s="106"/>
      <c r="C63" s="104"/>
    </row>
    <row r="64" spans="1:3" ht="12.75">
      <c r="A64" s="102"/>
      <c r="B64" s="106"/>
      <c r="C64" s="104"/>
    </row>
    <row r="65" spans="1:3" ht="12.75">
      <c r="A65" s="102"/>
      <c r="B65" s="106"/>
      <c r="C65" s="104"/>
    </row>
    <row r="66" spans="1:3" ht="12.75">
      <c r="A66" s="102"/>
      <c r="B66" s="106"/>
      <c r="C66" s="104"/>
    </row>
    <row r="67" spans="1:3" ht="12.75">
      <c r="A67" s="102"/>
      <c r="B67" s="106"/>
      <c r="C67" s="104"/>
    </row>
    <row r="68" spans="1:3" ht="12.75">
      <c r="A68" s="102"/>
      <c r="B68" s="106"/>
      <c r="C68" s="104"/>
    </row>
    <row r="69" spans="1:3" ht="12.75">
      <c r="A69" s="102"/>
      <c r="B69" s="106"/>
      <c r="C69" s="104"/>
    </row>
    <row r="70" spans="1:3" ht="12.75">
      <c r="A70" s="102"/>
      <c r="B70" s="106"/>
      <c r="C70" s="104"/>
    </row>
    <row r="71" spans="1:3" ht="12.75">
      <c r="A71" s="102"/>
      <c r="B71" s="106"/>
      <c r="C71" s="104"/>
    </row>
    <row r="72" spans="1:3" ht="12.75">
      <c r="A72" s="102"/>
      <c r="B72" s="106"/>
      <c r="C72" s="104"/>
    </row>
    <row r="73" spans="1:3" ht="12.75">
      <c r="A73" s="102"/>
      <c r="B73" s="106"/>
      <c r="C73" s="104"/>
    </row>
    <row r="74" spans="1:3" ht="12.75">
      <c r="A74" s="102"/>
      <c r="B74" s="106"/>
      <c r="C74" s="104"/>
    </row>
    <row r="75" spans="1:3" ht="12.75">
      <c r="A75" s="102"/>
      <c r="B75" s="106"/>
      <c r="C75" s="104"/>
    </row>
    <row r="76" spans="1:3" ht="12.75">
      <c r="A76" s="102"/>
      <c r="B76" s="106"/>
      <c r="C76" s="104"/>
    </row>
    <row r="77" spans="1:3" ht="12.75">
      <c r="A77" s="102"/>
      <c r="B77" s="106"/>
      <c r="C77" s="104"/>
    </row>
    <row r="78" spans="1:3" ht="12.75">
      <c r="A78" s="102"/>
      <c r="B78" s="106"/>
      <c r="C78" s="104"/>
    </row>
    <row r="79" spans="1:3" ht="12.75">
      <c r="A79" s="102"/>
      <c r="B79" s="106"/>
      <c r="C79" s="104"/>
    </row>
    <row r="80" spans="1:3" ht="12.75">
      <c r="A80" s="102"/>
      <c r="B80" s="106"/>
      <c r="C80" s="104"/>
    </row>
    <row r="81" spans="1:3" ht="12.75">
      <c r="A81" s="102"/>
      <c r="B81" s="106"/>
      <c r="C81" s="104"/>
    </row>
    <row r="82" spans="1:3" ht="12.75">
      <c r="A82" s="102"/>
      <c r="B82" s="106"/>
      <c r="C82" s="104"/>
    </row>
    <row r="83" spans="1:3" ht="12.75">
      <c r="A83" s="102"/>
      <c r="B83" s="106"/>
      <c r="C83" s="104"/>
    </row>
    <row r="84" spans="1:3" ht="12.75">
      <c r="A84" s="102"/>
      <c r="B84" s="106"/>
      <c r="C84" s="104"/>
    </row>
    <row r="85" spans="1:3" ht="12.75">
      <c r="A85" s="102"/>
      <c r="B85" s="106"/>
      <c r="C85" s="104"/>
    </row>
    <row r="86" spans="1:3" ht="12.75">
      <c r="A86" s="102"/>
      <c r="B86" s="106"/>
      <c r="C86" s="104"/>
    </row>
    <row r="87" spans="1:3" ht="12.75">
      <c r="A87" s="102"/>
      <c r="B87" s="106"/>
      <c r="C87" s="104"/>
    </row>
    <row r="88" spans="1:3" ht="12.75">
      <c r="A88" s="102"/>
      <c r="B88" s="106"/>
      <c r="C88" s="104"/>
    </row>
    <row r="89" spans="1:3" ht="12.75">
      <c r="A89" s="102"/>
      <c r="B89" s="106"/>
      <c r="C89" s="104"/>
    </row>
    <row r="90" spans="1:3" ht="12.75">
      <c r="A90" s="102"/>
      <c r="B90" s="106"/>
      <c r="C90" s="104"/>
    </row>
    <row r="91" spans="1:3" ht="12.75">
      <c r="A91" s="102"/>
      <c r="B91" s="106"/>
      <c r="C91" s="104"/>
    </row>
    <row r="92" spans="1:3" ht="12.75">
      <c r="A92" s="102"/>
      <c r="B92" s="106"/>
      <c r="C92" s="104"/>
    </row>
    <row r="93" spans="1:3" ht="12.75">
      <c r="A93" s="102"/>
      <c r="B93" s="106"/>
      <c r="C93" s="104"/>
    </row>
    <row r="94" spans="1:3" ht="12.75">
      <c r="A94" s="102"/>
      <c r="B94" s="106"/>
      <c r="C94" s="104"/>
    </row>
    <row r="95" spans="1:3" ht="12.75">
      <c r="A95" s="102"/>
      <c r="B95" s="106"/>
      <c r="C95" s="104"/>
    </row>
    <row r="96" spans="1:3" ht="12.75">
      <c r="A96" s="102"/>
      <c r="B96" s="106"/>
      <c r="C96" s="104"/>
    </row>
    <row r="97" spans="1:3" ht="12.75">
      <c r="A97" s="102"/>
      <c r="B97" s="106"/>
      <c r="C97" s="104"/>
    </row>
    <row r="98" spans="1:3" ht="12.75">
      <c r="A98" s="102"/>
      <c r="B98" s="106"/>
      <c r="C98" s="104"/>
    </row>
    <row r="99" spans="1:3" ht="12.75">
      <c r="A99" s="102"/>
      <c r="B99" s="106"/>
      <c r="C99" s="104"/>
    </row>
    <row r="100" spans="1:3" ht="12.75">
      <c r="A100" s="102"/>
      <c r="B100" s="106"/>
      <c r="C100" s="104"/>
    </row>
    <row r="101" spans="1:3" ht="12.75">
      <c r="A101" s="102"/>
      <c r="B101" s="106"/>
      <c r="C101" s="104"/>
    </row>
    <row r="102" spans="1:3" ht="12.75">
      <c r="A102" s="102"/>
      <c r="B102" s="106"/>
      <c r="C102" s="104"/>
    </row>
    <row r="103" spans="1:3" ht="12.75">
      <c r="A103" s="102"/>
      <c r="B103" s="106"/>
      <c r="C103" s="104"/>
    </row>
    <row r="104" spans="1:3" ht="12.75">
      <c r="A104" s="102"/>
      <c r="B104" s="106"/>
      <c r="C104" s="104"/>
    </row>
    <row r="105" spans="1:3" ht="12.75">
      <c r="A105" s="102"/>
      <c r="B105" s="106"/>
      <c r="C105" s="104"/>
    </row>
    <row r="106" spans="1:3" ht="12.75">
      <c r="A106" s="102"/>
      <c r="B106" s="106"/>
      <c r="C106" s="104"/>
    </row>
    <row r="107" spans="1:3" ht="12.75">
      <c r="A107" s="102"/>
      <c r="B107" s="106"/>
      <c r="C107" s="104"/>
    </row>
    <row r="108" spans="1:3" ht="12.75">
      <c r="A108" s="102"/>
      <c r="B108" s="106"/>
      <c r="C108" s="104"/>
    </row>
    <row r="109" spans="1:3" ht="12.75">
      <c r="A109" s="102"/>
      <c r="B109" s="106"/>
      <c r="C109" s="104"/>
    </row>
    <row r="110" spans="1:3" ht="12.75">
      <c r="A110" s="102"/>
      <c r="B110" s="106"/>
      <c r="C110" s="104"/>
    </row>
    <row r="111" spans="1:3" ht="12.75">
      <c r="A111" s="102"/>
      <c r="B111" s="106"/>
      <c r="C111" s="104"/>
    </row>
    <row r="112" spans="1:3" ht="12.75">
      <c r="A112" s="102"/>
      <c r="B112" s="106"/>
      <c r="C112" s="104"/>
    </row>
    <row r="113" spans="1:3" ht="12.75">
      <c r="A113" s="102"/>
      <c r="B113" s="106"/>
      <c r="C113" s="104"/>
    </row>
    <row r="114" spans="1:3" ht="12.75">
      <c r="A114" s="102"/>
      <c r="B114" s="106"/>
      <c r="C114" s="104"/>
    </row>
    <row r="115" spans="1:3" ht="12.75">
      <c r="A115" s="102"/>
      <c r="B115" s="106"/>
      <c r="C115" s="104"/>
    </row>
    <row r="116" spans="1:3" ht="12.75">
      <c r="A116" s="102"/>
      <c r="B116" s="106"/>
      <c r="C116" s="104"/>
    </row>
    <row r="117" spans="1:3" ht="12.75">
      <c r="A117" s="102"/>
      <c r="B117" s="106"/>
      <c r="C117" s="104"/>
    </row>
    <row r="118" spans="1:3" ht="12.75">
      <c r="A118" s="102"/>
      <c r="B118" s="106"/>
      <c r="C118" s="104"/>
    </row>
    <row r="119" spans="1:3" ht="12.75">
      <c r="A119" s="102"/>
      <c r="B119" s="106"/>
      <c r="C119" s="104"/>
    </row>
    <row r="120" spans="1:3" ht="12.75">
      <c r="A120" s="102"/>
      <c r="B120" s="106"/>
      <c r="C120" s="104"/>
    </row>
    <row r="121" spans="1:3" ht="12.75">
      <c r="A121" s="102"/>
      <c r="B121" s="106"/>
      <c r="C121" s="104"/>
    </row>
    <row r="122" spans="1:3" ht="12.75">
      <c r="A122" s="102"/>
      <c r="B122" s="106"/>
      <c r="C122" s="104"/>
    </row>
    <row r="123" spans="1:3" ht="12.75">
      <c r="A123" s="102"/>
      <c r="B123" s="106"/>
      <c r="C123" s="104"/>
    </row>
    <row r="124" spans="1:3" ht="12.75">
      <c r="A124" s="102"/>
      <c r="B124" s="106"/>
      <c r="C124" s="104"/>
    </row>
    <row r="125" spans="1:3" ht="12.75">
      <c r="A125" s="102"/>
      <c r="B125" s="106"/>
      <c r="C125" s="104"/>
    </row>
    <row r="126" spans="1:3" ht="12.75">
      <c r="A126" s="102"/>
      <c r="B126" s="106"/>
      <c r="C126" s="104"/>
    </row>
    <row r="127" spans="1:3" ht="12.75">
      <c r="A127" s="102"/>
      <c r="B127" s="106"/>
      <c r="C127" s="104"/>
    </row>
    <row r="128" spans="1:3" ht="12.75">
      <c r="A128" s="102"/>
      <c r="B128" s="106"/>
      <c r="C128" s="104"/>
    </row>
    <row r="129" spans="1:3" ht="12.75">
      <c r="A129" s="102"/>
      <c r="B129" s="106"/>
      <c r="C129" s="104"/>
    </row>
    <row r="130" spans="1:3" ht="12.75">
      <c r="A130" s="102"/>
      <c r="B130" s="106"/>
      <c r="C130" s="104"/>
    </row>
    <row r="131" spans="1:3" ht="12.75">
      <c r="A131" s="102"/>
      <c r="B131" s="106"/>
      <c r="C131" s="104"/>
    </row>
    <row r="132" spans="1:3" ht="12.75">
      <c r="A132" s="102"/>
      <c r="B132" s="106"/>
      <c r="C132" s="104"/>
    </row>
    <row r="133" spans="1:3" ht="12.75">
      <c r="A133" s="102"/>
      <c r="B133" s="106"/>
      <c r="C133" s="104"/>
    </row>
    <row r="134" spans="1:3" ht="12.75">
      <c r="A134" s="102"/>
      <c r="B134" s="106"/>
      <c r="C134" s="104"/>
    </row>
    <row r="135" spans="1:3" ht="12.75">
      <c r="A135" s="102"/>
      <c r="B135" s="106"/>
      <c r="C135" s="104"/>
    </row>
    <row r="136" spans="1:3" ht="12.75">
      <c r="A136" s="102"/>
      <c r="B136" s="106"/>
      <c r="C136" s="104"/>
    </row>
    <row r="137" spans="1:3" ht="12.75">
      <c r="A137" s="102"/>
      <c r="B137" s="106"/>
      <c r="C137" s="104"/>
    </row>
    <row r="138" spans="1:3" ht="12.75">
      <c r="A138" s="102"/>
      <c r="B138" s="106"/>
      <c r="C138" s="104"/>
    </row>
    <row r="139" spans="1:3" ht="12.75">
      <c r="A139" s="102"/>
      <c r="B139" s="106"/>
      <c r="C139" s="104"/>
    </row>
    <row r="140" spans="1:3" ht="12.75">
      <c r="A140" s="102"/>
      <c r="B140" s="106"/>
      <c r="C140" s="104"/>
    </row>
    <row r="141" spans="1:3" ht="12.75">
      <c r="A141" s="102"/>
      <c r="B141" s="106"/>
      <c r="C141" s="104"/>
    </row>
    <row r="142" spans="1:3" ht="12.75">
      <c r="A142" s="102"/>
      <c r="B142" s="106"/>
      <c r="C142" s="104"/>
    </row>
    <row r="143" spans="1:3" ht="12.75">
      <c r="A143" s="102"/>
      <c r="B143" s="106"/>
      <c r="C143" s="104"/>
    </row>
    <row r="144" spans="1:3" ht="12.75">
      <c r="A144" s="102"/>
      <c r="B144" s="106"/>
      <c r="C144" s="104"/>
    </row>
    <row r="145" spans="1:3" ht="12.75">
      <c r="A145" s="102"/>
      <c r="B145" s="106"/>
      <c r="C145" s="104"/>
    </row>
    <row r="146" spans="1:3" ht="12.75">
      <c r="A146" s="102"/>
      <c r="B146" s="106"/>
      <c r="C146" s="104"/>
    </row>
    <row r="147" spans="1:3" ht="12.75">
      <c r="A147" s="102"/>
      <c r="B147" s="106"/>
      <c r="C147" s="104"/>
    </row>
    <row r="148" spans="1:3" ht="12.75">
      <c r="A148" s="102"/>
      <c r="B148" s="106"/>
      <c r="C148" s="104"/>
    </row>
    <row r="149" spans="1:3" ht="12.75">
      <c r="A149" s="102"/>
      <c r="B149" s="106"/>
      <c r="C149" s="104"/>
    </row>
    <row r="150" spans="1:3" ht="12.75">
      <c r="A150" s="102"/>
      <c r="B150" s="106"/>
      <c r="C150" s="104"/>
    </row>
    <row r="151" spans="1:3" ht="12.75">
      <c r="A151" s="102"/>
      <c r="B151" s="106"/>
      <c r="C151" s="104"/>
    </row>
    <row r="152" spans="1:3" ht="12.75">
      <c r="A152" s="102"/>
      <c r="B152" s="106"/>
      <c r="C152" s="104"/>
    </row>
    <row r="153" spans="1:3" ht="12.75">
      <c r="A153" s="102"/>
      <c r="B153" s="106"/>
      <c r="C153" s="104"/>
    </row>
    <row r="154" spans="1:3" ht="12.75">
      <c r="A154" s="102"/>
      <c r="B154" s="106"/>
      <c r="C154" s="104"/>
    </row>
    <row r="155" spans="1:3" ht="12.75">
      <c r="A155" s="102"/>
      <c r="B155" s="106"/>
      <c r="C155" s="104"/>
    </row>
    <row r="156" spans="1:3" ht="12.75">
      <c r="A156" s="102"/>
      <c r="B156" s="106"/>
      <c r="C156" s="104"/>
    </row>
    <row r="157" spans="1:3" ht="12.75">
      <c r="A157" s="102"/>
      <c r="B157" s="106"/>
      <c r="C157" s="104"/>
    </row>
    <row r="158" spans="1:3" ht="12.75">
      <c r="A158" s="102"/>
      <c r="B158" s="106"/>
      <c r="C158" s="104"/>
    </row>
    <row r="199" ht="29.25" customHeight="1"/>
    <row r="200" ht="25.5" customHeight="1"/>
    <row r="226" ht="16.5" customHeight="1"/>
    <row r="230" ht="218.25" customHeight="1"/>
    <row r="231" ht="207" customHeight="1"/>
    <row r="232" ht="371.25" customHeight="1"/>
    <row r="233" ht="89.25" customHeight="1"/>
  </sheetData>
  <sheetProtection/>
  <mergeCells count="14">
    <mergeCell ref="A9:A10"/>
    <mergeCell ref="B9:B10"/>
    <mergeCell ref="A12:A13"/>
    <mergeCell ref="B12:B13"/>
    <mergeCell ref="B35:B36"/>
    <mergeCell ref="B1:D1"/>
    <mergeCell ref="A14:A15"/>
    <mergeCell ref="B14:B15"/>
    <mergeCell ref="A16:A17"/>
    <mergeCell ref="B16:B17"/>
    <mergeCell ref="A19:A20"/>
    <mergeCell ref="B19:B20"/>
    <mergeCell ref="A5:C5"/>
    <mergeCell ref="A6:C6"/>
  </mergeCells>
  <printOptions/>
  <pageMargins left="0.7086614173228347" right="0.7086614173228347" top="0.7480314960629921" bottom="0.7480314960629921" header="0.31496062992125984" footer="0.31496062992125984"/>
  <pageSetup fitToHeight="7" fitToWidth="1" horizontalDpi="600" verticalDpi="600" orientation="landscape" paperSize="9" scale="73" r:id="rId1"/>
</worksheet>
</file>

<file path=xl/worksheets/sheet3.xml><?xml version="1.0" encoding="utf-8"?>
<worksheet xmlns="http://schemas.openxmlformats.org/spreadsheetml/2006/main" xmlns:r="http://schemas.openxmlformats.org/officeDocument/2006/relationships">
  <dimension ref="A1:X86"/>
  <sheetViews>
    <sheetView tabSelected="1" view="pageBreakPreview" zoomScale="75" zoomScaleNormal="75" zoomScaleSheetLayoutView="75" zoomScalePageLayoutView="0" workbookViewId="0" topLeftCell="A4">
      <pane xSplit="3" ySplit="3" topLeftCell="D7" activePane="bottomRight" state="frozen"/>
      <selection pane="topLeft" activeCell="A4" sqref="A4"/>
      <selection pane="topRight" activeCell="D4" sqref="D4"/>
      <selection pane="bottomLeft" activeCell="A7" sqref="A7"/>
      <selection pane="bottomRight" activeCell="A4" sqref="A1:IV16384"/>
    </sheetView>
  </sheetViews>
  <sheetFormatPr defaultColWidth="9.33203125" defaultRowHeight="12.75"/>
  <cols>
    <col min="1" max="1" width="11.5" style="128" bestFit="1" customWidth="1"/>
    <col min="2" max="2" width="17.33203125" style="128" hidden="1" customWidth="1"/>
    <col min="3" max="3" width="143.16015625" style="128" customWidth="1"/>
    <col min="4" max="4" width="26.33203125" style="143" customWidth="1"/>
    <col min="5" max="5" width="24" style="128" customWidth="1"/>
    <col min="6" max="6" width="24.16015625" style="128" customWidth="1"/>
    <col min="7" max="7" width="22" style="128" customWidth="1"/>
    <col min="8" max="8" width="24.5" style="128" customWidth="1"/>
    <col min="9" max="9" width="24.5" style="128" hidden="1" customWidth="1"/>
    <col min="10" max="11" width="24.5" style="128" customWidth="1"/>
    <col min="12" max="12" width="20.66015625" style="128" customWidth="1"/>
    <col min="13" max="13" width="20.33203125" style="128" customWidth="1"/>
    <col min="14" max="14" width="19.33203125" style="128" customWidth="1"/>
    <col min="15" max="15" width="19.5" style="128" customWidth="1"/>
    <col min="16" max="16" width="20.83203125" style="128" customWidth="1"/>
    <col min="17" max="17" width="20.5" style="128" customWidth="1"/>
    <col min="18" max="18" width="18.83203125" style="128" customWidth="1"/>
    <col min="19" max="19" width="19" style="128" customWidth="1"/>
    <col min="20" max="20" width="20.66015625" style="128" customWidth="1"/>
    <col min="21" max="21" width="19.5" style="128" customWidth="1"/>
    <col min="22" max="22" width="20.5" style="128" customWidth="1"/>
    <col min="23" max="23" width="18.83203125" style="128" customWidth="1"/>
    <col min="24" max="24" width="22.16015625" style="128" customWidth="1"/>
    <col min="25" max="16384" width="9.33203125" style="128" customWidth="1"/>
  </cols>
  <sheetData>
    <row r="1" spans="1:11" ht="26.25" customHeight="1">
      <c r="A1" s="264" t="s">
        <v>201</v>
      </c>
      <c r="B1" s="264"/>
      <c r="C1" s="264"/>
      <c r="D1" s="264"/>
      <c r="E1" s="264"/>
      <c r="F1" s="264"/>
      <c r="G1" s="264"/>
      <c r="H1" s="264"/>
      <c r="I1" s="190"/>
      <c r="J1" s="190"/>
      <c r="K1" s="190"/>
    </row>
    <row r="2" spans="1:11" ht="28.5" customHeight="1">
      <c r="A2" s="265" t="s">
        <v>202</v>
      </c>
      <c r="B2" s="265"/>
      <c r="C2" s="265"/>
      <c r="D2" s="265"/>
      <c r="E2" s="265"/>
      <c r="F2" s="265"/>
      <c r="G2" s="265"/>
      <c r="H2" s="265"/>
      <c r="I2" s="191"/>
      <c r="J2" s="191"/>
      <c r="K2" s="191"/>
    </row>
    <row r="3" spans="3:11" ht="18.75">
      <c r="C3" s="146"/>
      <c r="D3" s="129"/>
      <c r="E3" s="147"/>
      <c r="G3" s="148" t="s">
        <v>203</v>
      </c>
      <c r="J3" s="208"/>
      <c r="K3" s="211"/>
    </row>
    <row r="4" spans="1:20" ht="18.75">
      <c r="A4" s="269" t="s">
        <v>193</v>
      </c>
      <c r="B4" s="156"/>
      <c r="C4" s="269" t="s">
        <v>195</v>
      </c>
      <c r="D4" s="267" t="s">
        <v>196</v>
      </c>
      <c r="E4" s="267" t="s">
        <v>486</v>
      </c>
      <c r="F4" s="267" t="s">
        <v>487</v>
      </c>
      <c r="G4" s="132" t="s">
        <v>491</v>
      </c>
      <c r="H4" s="266" t="s">
        <v>44</v>
      </c>
      <c r="I4" s="266" t="s">
        <v>43</v>
      </c>
      <c r="J4" s="275" t="s">
        <v>269</v>
      </c>
      <c r="K4" s="212"/>
      <c r="R4" s="184" t="s">
        <v>433</v>
      </c>
      <c r="S4" s="180" t="s">
        <v>434</v>
      </c>
      <c r="T4" s="182" t="s">
        <v>435</v>
      </c>
    </row>
    <row r="5" spans="1:24" ht="75.75" customHeight="1">
      <c r="A5" s="269"/>
      <c r="B5" s="9" t="s">
        <v>194</v>
      </c>
      <c r="C5" s="269"/>
      <c r="D5" s="267"/>
      <c r="E5" s="267"/>
      <c r="F5" s="267"/>
      <c r="G5" s="149" t="s">
        <v>500</v>
      </c>
      <c r="H5" s="266"/>
      <c r="I5" s="266"/>
      <c r="J5" s="276"/>
      <c r="K5" s="219"/>
      <c r="L5" s="159" t="s">
        <v>379</v>
      </c>
      <c r="M5" s="186" t="s">
        <v>422</v>
      </c>
      <c r="N5" s="186" t="s">
        <v>423</v>
      </c>
      <c r="O5" s="186" t="s">
        <v>424</v>
      </c>
      <c r="P5" s="186" t="s">
        <v>425</v>
      </c>
      <c r="Q5" s="186" t="s">
        <v>426</v>
      </c>
      <c r="R5" s="186" t="s">
        <v>427</v>
      </c>
      <c r="S5" s="186" t="s">
        <v>428</v>
      </c>
      <c r="T5" s="186" t="s">
        <v>429</v>
      </c>
      <c r="U5" s="186" t="s">
        <v>430</v>
      </c>
      <c r="V5" s="186" t="s">
        <v>431</v>
      </c>
      <c r="W5" s="186" t="s">
        <v>432</v>
      </c>
      <c r="X5" s="186" t="s">
        <v>488</v>
      </c>
    </row>
    <row r="6" spans="1:12" s="131" customFormat="1" ht="25.5" customHeight="1">
      <c r="A6" s="270" t="s">
        <v>204</v>
      </c>
      <c r="B6" s="271"/>
      <c r="C6" s="271"/>
      <c r="D6" s="271"/>
      <c r="E6" s="271"/>
      <c r="F6" s="271"/>
      <c r="G6" s="271"/>
      <c r="H6" s="271"/>
      <c r="I6" s="273"/>
      <c r="J6" s="274"/>
      <c r="K6" s="213"/>
      <c r="L6" s="232"/>
    </row>
    <row r="7" spans="1:24" ht="37.5" customHeight="1">
      <c r="A7" s="150">
        <v>1</v>
      </c>
      <c r="B7" s="169"/>
      <c r="C7" s="151" t="s">
        <v>205</v>
      </c>
      <c r="D7" s="152">
        <f>D8+D15</f>
        <v>34835662.52</v>
      </c>
      <c r="E7" s="152">
        <f>E8+E15</f>
        <v>13200000</v>
      </c>
      <c r="F7" s="152">
        <f>F8+F15</f>
        <v>21635662.520000003</v>
      </c>
      <c r="G7" s="152">
        <f>G8+G15</f>
        <v>17916888.870000005</v>
      </c>
      <c r="H7" s="175">
        <f>H8+H15</f>
        <v>10149484.63</v>
      </c>
      <c r="I7" s="175">
        <f>I9+I12</f>
        <v>2102547.7</v>
      </c>
      <c r="J7" s="227">
        <f>H7/(M7+N7+O7+P7+Q7+R7+S7+T7)*100</f>
        <v>36.770923323152175</v>
      </c>
      <c r="K7" s="218"/>
      <c r="L7" s="220">
        <f>M7+N7+O7+P7+Q7+R7+S7+T7-H7</f>
        <v>17452445.68</v>
      </c>
      <c r="M7" s="192">
        <f>M8+M15</f>
        <v>1686888.87</v>
      </c>
      <c r="N7" s="152">
        <f aca="true" t="shared" si="0" ref="N7:W7">N8+N15</f>
        <v>450000</v>
      </c>
      <c r="O7" s="152">
        <f t="shared" si="0"/>
        <v>1900000</v>
      </c>
      <c r="P7" s="152">
        <f t="shared" si="0"/>
        <v>4480000</v>
      </c>
      <c r="Q7" s="152">
        <f t="shared" si="0"/>
        <v>2368773.65</v>
      </c>
      <c r="R7" s="152">
        <f t="shared" si="0"/>
        <v>3700000</v>
      </c>
      <c r="S7" s="152">
        <f t="shared" si="0"/>
        <v>5326000</v>
      </c>
      <c r="T7" s="152">
        <f>T8+T15</f>
        <v>7690267.79</v>
      </c>
      <c r="U7" s="152">
        <f t="shared" si="0"/>
        <v>5009732.21</v>
      </c>
      <c r="V7" s="152">
        <f t="shared" si="0"/>
        <v>1800000</v>
      </c>
      <c r="W7" s="152">
        <f t="shared" si="0"/>
        <v>424000</v>
      </c>
      <c r="X7" s="152">
        <f>X8+X15</f>
        <v>34835662.52</v>
      </c>
    </row>
    <row r="8" spans="1:24" ht="18.75">
      <c r="A8" s="133" t="s">
        <v>197</v>
      </c>
      <c r="B8" s="134"/>
      <c r="C8" s="153" t="s">
        <v>206</v>
      </c>
      <c r="D8" s="154">
        <f>D9+D13+D14+D12</f>
        <v>15050000</v>
      </c>
      <c r="E8" s="154">
        <f>E9+E13+E14+E12</f>
        <v>13200000</v>
      </c>
      <c r="F8" s="154">
        <f>F9+F13+F14+F12</f>
        <v>1850000</v>
      </c>
      <c r="G8" s="154"/>
      <c r="H8" s="203">
        <f>H9+H13+H14+H12</f>
        <v>3914115.2600000002</v>
      </c>
      <c r="I8" s="203"/>
      <c r="J8" s="214">
        <f>H8/(M8+N8+O8+P8+Q8+R8+S8+T8)*100</f>
        <v>36.75225596244132</v>
      </c>
      <c r="K8" s="215"/>
      <c r="L8" s="220">
        <f>M8+N8+O8+P8+Q8+R8+S8+T8-H8</f>
        <v>6735884.74</v>
      </c>
      <c r="M8" s="193">
        <f>M9+M12+M13+M14</f>
        <v>450000</v>
      </c>
      <c r="N8" s="183">
        <f>N9+N12+N13+N14</f>
        <v>450000</v>
      </c>
      <c r="O8" s="183">
        <f aca="true" t="shared" si="1" ref="O8:W8">O9+O12+O13+O14</f>
        <v>900000</v>
      </c>
      <c r="P8" s="183">
        <f>P9+P12+P13+P14</f>
        <v>950000</v>
      </c>
      <c r="Q8" s="183">
        <f t="shared" si="1"/>
        <v>950000</v>
      </c>
      <c r="R8" s="183">
        <f t="shared" si="1"/>
        <v>350000</v>
      </c>
      <c r="S8" s="183">
        <f t="shared" si="1"/>
        <v>2250000</v>
      </c>
      <c r="T8" s="183">
        <f t="shared" si="1"/>
        <v>4350000</v>
      </c>
      <c r="U8" s="183">
        <f t="shared" si="1"/>
        <v>3200000</v>
      </c>
      <c r="V8" s="183">
        <f t="shared" si="1"/>
        <v>1200000</v>
      </c>
      <c r="W8" s="183">
        <f t="shared" si="1"/>
        <v>0</v>
      </c>
      <c r="X8" s="183">
        <f>X9+X12+X13+X14</f>
        <v>15050000</v>
      </c>
    </row>
    <row r="9" spans="1:24" ht="37.5">
      <c r="A9" s="133"/>
      <c r="B9" s="134"/>
      <c r="C9" s="135" t="s">
        <v>328</v>
      </c>
      <c r="D9" s="155">
        <f>F9+E9</f>
        <v>4200000</v>
      </c>
      <c r="E9" s="155">
        <v>2500000</v>
      </c>
      <c r="F9" s="155">
        <v>1700000</v>
      </c>
      <c r="G9" s="156"/>
      <c r="H9" s="204">
        <f>145975.7+110885.5+10080+85250+418006.2+59549+45060.24+257580+19173.6+27739.2+228900+128332.85+24200+90350+637477.5+41115.6+3379.2</f>
        <v>2333054.5900000003</v>
      </c>
      <c r="I9" s="222">
        <f>637477.5+3379.2</f>
        <v>640856.7</v>
      </c>
      <c r="J9" s="209">
        <f>H9/(M9+N9+O9+P9+Q9+R9+S9+T9)*100</f>
        <v>63.05552945945947</v>
      </c>
      <c r="K9" s="216"/>
      <c r="L9" s="221">
        <f>M9+N9+O9+P9+Q9+R9+S9+T9-H9</f>
        <v>1366945.4099999997</v>
      </c>
      <c r="M9" s="210"/>
      <c r="N9" s="181"/>
      <c r="O9" s="179">
        <v>500000</v>
      </c>
      <c r="P9" s="179">
        <v>600000</v>
      </c>
      <c r="Q9" s="179">
        <v>600000</v>
      </c>
      <c r="R9" s="181"/>
      <c r="S9" s="184">
        <v>1200000</v>
      </c>
      <c r="T9" s="184">
        <v>800000</v>
      </c>
      <c r="U9" s="184">
        <v>500000</v>
      </c>
      <c r="V9" s="181"/>
      <c r="W9" s="181"/>
      <c r="X9" s="180">
        <f>SUM(M9:W9)</f>
        <v>4200000</v>
      </c>
    </row>
    <row r="10" spans="1:24" ht="18.75" customHeight="1" hidden="1">
      <c r="A10" s="133"/>
      <c r="B10" s="134"/>
      <c r="C10" s="157" t="s">
        <v>207</v>
      </c>
      <c r="D10" s="158"/>
      <c r="E10" s="158"/>
      <c r="F10" s="158"/>
      <c r="G10" s="156"/>
      <c r="H10" s="205"/>
      <c r="I10" s="223"/>
      <c r="J10" s="209" t="e">
        <f aca="true" t="shared" si="2" ref="J10:J33">H10/(M10+N10+O10+P10+Q10+R10+S10+T10)*100</f>
        <v>#DIV/0!</v>
      </c>
      <c r="K10" s="216"/>
      <c r="L10" s="221">
        <f aca="true" t="shared" si="3" ref="L10:L73">M10+N10+O10+P10+Q10+R10+S10+T10-H10</f>
        <v>0</v>
      </c>
      <c r="M10" s="194"/>
      <c r="N10" s="181"/>
      <c r="O10" s="179"/>
      <c r="P10" s="179"/>
      <c r="Q10" s="179"/>
      <c r="R10" s="181"/>
      <c r="S10" s="181"/>
      <c r="T10" s="181"/>
      <c r="U10" s="181"/>
      <c r="V10" s="181"/>
      <c r="W10" s="181"/>
      <c r="X10" s="180"/>
    </row>
    <row r="11" spans="1:24" ht="18.75" hidden="1">
      <c r="A11" s="133"/>
      <c r="B11" s="134"/>
      <c r="C11" s="157" t="s">
        <v>268</v>
      </c>
      <c r="D11" s="158">
        <f>E11</f>
        <v>0</v>
      </c>
      <c r="E11" s="158">
        <f>3000000-2576000-424000</f>
        <v>0</v>
      </c>
      <c r="F11" s="158"/>
      <c r="G11" s="156"/>
      <c r="H11" s="205"/>
      <c r="I11" s="223"/>
      <c r="J11" s="209" t="e">
        <f t="shared" si="2"/>
        <v>#DIV/0!</v>
      </c>
      <c r="K11" s="216"/>
      <c r="L11" s="221">
        <f t="shared" si="3"/>
        <v>0</v>
      </c>
      <c r="M11" s="195">
        <v>250000</v>
      </c>
      <c r="N11" s="184">
        <v>350000</v>
      </c>
      <c r="O11" s="184">
        <v>350000</v>
      </c>
      <c r="P11" s="184">
        <f>350000-1300000</f>
        <v>-950000</v>
      </c>
      <c r="Q11" s="184">
        <f>350000-350000</f>
        <v>0</v>
      </c>
      <c r="R11" s="184">
        <f>350000-350000</f>
        <v>0</v>
      </c>
      <c r="S11" s="184">
        <f>350000-76000-274000</f>
        <v>0</v>
      </c>
      <c r="T11" s="184">
        <f>350000-200000-150000</f>
        <v>0</v>
      </c>
      <c r="U11" s="184">
        <f>300000-300000</f>
        <v>0</v>
      </c>
      <c r="V11" s="184"/>
      <c r="W11" s="184"/>
      <c r="X11" s="184">
        <f aca="true" t="shared" si="4" ref="X11:X74">SUM(M11:W11)</f>
        <v>0</v>
      </c>
    </row>
    <row r="12" spans="1:24" ht="37.5">
      <c r="A12" s="133"/>
      <c r="B12" s="134"/>
      <c r="C12" s="135" t="s">
        <v>208</v>
      </c>
      <c r="D12" s="155">
        <f>E12</f>
        <v>10700000</v>
      </c>
      <c r="E12" s="155">
        <f>3500000+500000+6700000</f>
        <v>10700000</v>
      </c>
      <c r="F12" s="155"/>
      <c r="G12" s="156"/>
      <c r="H12" s="204">
        <f>241334.4+64578+48081+278935+170139+140867+147553+370203.6</f>
        <v>1461691</v>
      </c>
      <c r="I12" s="204">
        <f>241334.4+64578+48081+278935+170139+140867+147553+370203.6</f>
        <v>1461691</v>
      </c>
      <c r="J12" s="209">
        <f t="shared" si="2"/>
        <v>21.49545588235294</v>
      </c>
      <c r="K12" s="216"/>
      <c r="L12" s="221">
        <f t="shared" si="3"/>
        <v>5338309</v>
      </c>
      <c r="M12" s="195">
        <v>450000</v>
      </c>
      <c r="N12" s="184">
        <v>350000</v>
      </c>
      <c r="O12" s="184">
        <v>350000</v>
      </c>
      <c r="P12" s="184">
        <f>350000</f>
        <v>350000</v>
      </c>
      <c r="Q12" s="184">
        <v>350000</v>
      </c>
      <c r="R12" s="184">
        <v>350000</v>
      </c>
      <c r="S12" s="184">
        <f>350000+700000</f>
        <v>1050000</v>
      </c>
      <c r="T12" s="184">
        <f>350000+200000+3000000</f>
        <v>3550000</v>
      </c>
      <c r="U12" s="184">
        <f>400000+300000+2000000</f>
        <v>2700000</v>
      </c>
      <c r="V12" s="184">
        <f>200000+1000000</f>
        <v>1200000</v>
      </c>
      <c r="W12" s="184"/>
      <c r="X12" s="185">
        <f t="shared" si="4"/>
        <v>10700000</v>
      </c>
    </row>
    <row r="13" spans="1:24" ht="18.75">
      <c r="A13" s="133"/>
      <c r="B13" s="134"/>
      <c r="C13" s="135" t="s">
        <v>209</v>
      </c>
      <c r="D13" s="155">
        <v>100000</v>
      </c>
      <c r="E13" s="136"/>
      <c r="F13" s="155">
        <v>100000</v>
      </c>
      <c r="G13" s="156"/>
      <c r="H13" s="204">
        <v>98846.55</v>
      </c>
      <c r="I13" s="222"/>
      <c r="J13" s="209">
        <f t="shared" si="2"/>
        <v>98.84655</v>
      </c>
      <c r="K13" s="216"/>
      <c r="L13" s="221">
        <f t="shared" si="3"/>
        <v>1153.449999999997</v>
      </c>
      <c r="M13" s="194"/>
      <c r="N13" s="179">
        <f>100000</f>
        <v>100000</v>
      </c>
      <c r="O13" s="179">
        <f>100000-100000</f>
        <v>0</v>
      </c>
      <c r="P13" s="181"/>
      <c r="Q13" s="181"/>
      <c r="R13" s="181"/>
      <c r="S13" s="181"/>
      <c r="T13" s="181"/>
      <c r="U13" s="181"/>
      <c r="V13" s="181"/>
      <c r="W13" s="181"/>
      <c r="X13" s="180">
        <f t="shared" si="4"/>
        <v>100000</v>
      </c>
    </row>
    <row r="14" spans="1:24" ht="37.5">
      <c r="A14" s="133"/>
      <c r="B14" s="134"/>
      <c r="C14" s="135" t="s">
        <v>252</v>
      </c>
      <c r="D14" s="155">
        <v>50000</v>
      </c>
      <c r="E14" s="136"/>
      <c r="F14" s="155">
        <v>50000</v>
      </c>
      <c r="G14" s="156"/>
      <c r="H14" s="204">
        <v>20523.12</v>
      </c>
      <c r="I14" s="222"/>
      <c r="J14" s="209">
        <f t="shared" si="2"/>
        <v>41.04624</v>
      </c>
      <c r="K14" s="216"/>
      <c r="L14" s="221">
        <f t="shared" si="3"/>
        <v>29476.88</v>
      </c>
      <c r="M14" s="194"/>
      <c r="N14" s="181"/>
      <c r="O14" s="179">
        <v>50000</v>
      </c>
      <c r="P14" s="181"/>
      <c r="Q14" s="181"/>
      <c r="R14" s="181"/>
      <c r="S14" s="181"/>
      <c r="T14" s="181"/>
      <c r="U14" s="181"/>
      <c r="V14" s="181"/>
      <c r="W14" s="181"/>
      <c r="X14" s="180">
        <f t="shared" si="4"/>
        <v>50000</v>
      </c>
    </row>
    <row r="15" spans="1:24" ht="18.75">
      <c r="A15" s="133" t="s">
        <v>198</v>
      </c>
      <c r="B15" s="134"/>
      <c r="C15" s="159" t="s">
        <v>253</v>
      </c>
      <c r="D15" s="154">
        <f>SUM(D16:D34)</f>
        <v>19785662.520000003</v>
      </c>
      <c r="E15" s="154"/>
      <c r="F15" s="154">
        <f>SUM(F16:F34)</f>
        <v>19785662.520000003</v>
      </c>
      <c r="G15" s="154">
        <f>SUM(G16:G34)</f>
        <v>17916888.870000005</v>
      </c>
      <c r="H15" s="203">
        <f>SUM(H16:H34)</f>
        <v>6235369.37</v>
      </c>
      <c r="I15" s="203"/>
      <c r="J15" s="214">
        <f t="shared" si="2"/>
        <v>36.78265103721985</v>
      </c>
      <c r="K15" s="215"/>
      <c r="L15" s="220">
        <f t="shared" si="3"/>
        <v>10716560.939999998</v>
      </c>
      <c r="M15" s="196">
        <f>SUM(M16:M34)</f>
        <v>1236888.87</v>
      </c>
      <c r="N15" s="154">
        <f aca="true" t="shared" si="5" ref="N15:X15">SUM(N16:N34)</f>
        <v>0</v>
      </c>
      <c r="O15" s="154">
        <f t="shared" si="5"/>
        <v>1000000</v>
      </c>
      <c r="P15" s="154">
        <f t="shared" si="5"/>
        <v>3530000</v>
      </c>
      <c r="Q15" s="154">
        <f t="shared" si="5"/>
        <v>1418773.65</v>
      </c>
      <c r="R15" s="154">
        <f t="shared" si="5"/>
        <v>3350000</v>
      </c>
      <c r="S15" s="154">
        <f t="shared" si="5"/>
        <v>3076000</v>
      </c>
      <c r="T15" s="154">
        <f>SUM(T16:T34)</f>
        <v>3340267.79</v>
      </c>
      <c r="U15" s="154">
        <f t="shared" si="5"/>
        <v>1809732.21</v>
      </c>
      <c r="V15" s="154">
        <f t="shared" si="5"/>
        <v>600000</v>
      </c>
      <c r="W15" s="154">
        <f t="shared" si="5"/>
        <v>424000</v>
      </c>
      <c r="X15" s="154">
        <f t="shared" si="5"/>
        <v>19785662.520000003</v>
      </c>
    </row>
    <row r="16" spans="1:24" ht="18.75">
      <c r="A16" s="133"/>
      <c r="B16" s="134"/>
      <c r="C16" s="137" t="s">
        <v>382</v>
      </c>
      <c r="D16" s="155">
        <f>F16</f>
        <v>1868773.6500000001</v>
      </c>
      <c r="E16" s="136"/>
      <c r="F16" s="155">
        <f>1883424.34-14650.69</f>
        <v>1868773.6500000001</v>
      </c>
      <c r="G16" s="156"/>
      <c r="H16" s="204">
        <f>11331.03+86811.92+1531.69+1353.6+47120.79+440000+62636.1+1320+69019.18+42379+230772+4406.44+180000+64621</f>
        <v>1243302.75</v>
      </c>
      <c r="I16" s="222"/>
      <c r="J16" s="209">
        <f t="shared" si="2"/>
        <v>66.53040885930727</v>
      </c>
      <c r="K16" s="216"/>
      <c r="L16" s="221">
        <f t="shared" si="3"/>
        <v>625470.8999999999</v>
      </c>
      <c r="M16" s="194"/>
      <c r="N16" s="181"/>
      <c r="O16" s="179">
        <v>1000000</v>
      </c>
      <c r="P16" s="179">
        <v>400000</v>
      </c>
      <c r="Q16" s="179">
        <v>468773.65</v>
      </c>
      <c r="R16" s="181"/>
      <c r="S16" s="181"/>
      <c r="T16" s="181"/>
      <c r="U16" s="181"/>
      <c r="V16" s="181"/>
      <c r="W16" s="181"/>
      <c r="X16" s="180">
        <f t="shared" si="4"/>
        <v>1868773.65</v>
      </c>
    </row>
    <row r="17" spans="1:24" s="131" customFormat="1" ht="18.75">
      <c r="A17" s="138"/>
      <c r="B17" s="138"/>
      <c r="C17" s="137" t="s">
        <v>256</v>
      </c>
      <c r="D17" s="160">
        <f aca="true" t="shared" si="6" ref="D17:D34">F17</f>
        <v>10000000</v>
      </c>
      <c r="E17" s="130"/>
      <c r="F17" s="155">
        <f aca="true" t="shared" si="7" ref="F17:F34">G17</f>
        <v>10000000</v>
      </c>
      <c r="G17" s="155">
        <v>10000000</v>
      </c>
      <c r="H17" s="204">
        <f>91583</f>
        <v>91583</v>
      </c>
      <c r="I17" s="222"/>
      <c r="J17" s="209">
        <f t="shared" si="2"/>
        <v>1.1893896103896104</v>
      </c>
      <c r="K17" s="216"/>
      <c r="L17" s="221">
        <f t="shared" si="3"/>
        <v>7608417</v>
      </c>
      <c r="M17" s="197"/>
      <c r="N17" s="173"/>
      <c r="O17" s="173"/>
      <c r="P17" s="173">
        <v>100000</v>
      </c>
      <c r="Q17" s="173"/>
      <c r="R17" s="173">
        <v>3000000</v>
      </c>
      <c r="S17" s="173">
        <v>2300000</v>
      </c>
      <c r="T17" s="173">
        <v>2300000</v>
      </c>
      <c r="U17" s="173">
        <v>1700000</v>
      </c>
      <c r="V17" s="173">
        <v>600000</v>
      </c>
      <c r="W17" s="174"/>
      <c r="X17" s="182">
        <f t="shared" si="4"/>
        <v>10000000</v>
      </c>
    </row>
    <row r="18" spans="1:24" s="131" customFormat="1" ht="23.25" customHeight="1">
      <c r="A18" s="138"/>
      <c r="B18" s="138"/>
      <c r="C18" s="137" t="s">
        <v>436</v>
      </c>
      <c r="D18" s="160">
        <f t="shared" si="6"/>
        <v>279079.21</v>
      </c>
      <c r="E18" s="130"/>
      <c r="F18" s="155">
        <f t="shared" si="7"/>
        <v>279079.21</v>
      </c>
      <c r="G18" s="155">
        <v>279079.21</v>
      </c>
      <c r="H18" s="204">
        <v>279079.21</v>
      </c>
      <c r="I18" s="222"/>
      <c r="J18" s="209">
        <f t="shared" si="2"/>
        <v>100</v>
      </c>
      <c r="K18" s="216"/>
      <c r="L18" s="221">
        <f t="shared" si="3"/>
        <v>0</v>
      </c>
      <c r="M18" s="197">
        <v>279079.21</v>
      </c>
      <c r="N18" s="173"/>
      <c r="O18" s="173"/>
      <c r="P18" s="173"/>
      <c r="Q18" s="173"/>
      <c r="R18" s="173"/>
      <c r="S18" s="173"/>
      <c r="T18" s="173"/>
      <c r="U18" s="173"/>
      <c r="V18" s="173"/>
      <c r="W18" s="173"/>
      <c r="X18" s="182">
        <f t="shared" si="4"/>
        <v>279079.21</v>
      </c>
    </row>
    <row r="19" spans="1:24" s="131" customFormat="1" ht="39.75" customHeight="1">
      <c r="A19" s="138"/>
      <c r="B19" s="138"/>
      <c r="C19" s="137" t="s">
        <v>383</v>
      </c>
      <c r="D19" s="160">
        <f t="shared" si="6"/>
        <v>1004077.15</v>
      </c>
      <c r="E19" s="130"/>
      <c r="F19" s="155">
        <f t="shared" si="7"/>
        <v>1004077.15</v>
      </c>
      <c r="G19" s="155">
        <f>44077.15+780000+180000</f>
        <v>1004077.15</v>
      </c>
      <c r="H19" s="204">
        <f>44077.15+767334.35+82605.77</f>
        <v>894017.27</v>
      </c>
      <c r="I19" s="222"/>
      <c r="J19" s="209">
        <f t="shared" si="2"/>
        <v>89.03870285266426</v>
      </c>
      <c r="K19" s="216"/>
      <c r="L19" s="221">
        <f t="shared" si="3"/>
        <v>110059.88</v>
      </c>
      <c r="M19" s="197">
        <v>44077.15</v>
      </c>
      <c r="N19" s="173"/>
      <c r="O19" s="173"/>
      <c r="P19" s="173">
        <v>780000</v>
      </c>
      <c r="Q19" s="173"/>
      <c r="R19" s="173"/>
      <c r="S19" s="173">
        <f>180000</f>
        <v>180000</v>
      </c>
      <c r="T19" s="173"/>
      <c r="U19" s="173"/>
      <c r="V19" s="173"/>
      <c r="W19" s="173"/>
      <c r="X19" s="182">
        <f t="shared" si="4"/>
        <v>1004077.15</v>
      </c>
    </row>
    <row r="20" spans="1:24" s="131" customFormat="1" ht="39" customHeight="1">
      <c r="A20" s="138"/>
      <c r="B20" s="138"/>
      <c r="C20" s="137" t="s">
        <v>384</v>
      </c>
      <c r="D20" s="160">
        <f t="shared" si="6"/>
        <v>416953.04000000004</v>
      </c>
      <c r="E20" s="130"/>
      <c r="F20" s="155">
        <f t="shared" si="7"/>
        <v>416953.04000000004</v>
      </c>
      <c r="G20" s="172">
        <f>156953.04+260000</f>
        <v>416953.04000000004</v>
      </c>
      <c r="H20" s="204">
        <f>156953.04</f>
        <v>156953.04</v>
      </c>
      <c r="I20" s="222"/>
      <c r="J20" s="209">
        <f t="shared" si="2"/>
        <v>37.6428578143956</v>
      </c>
      <c r="K20" s="216"/>
      <c r="L20" s="221">
        <f t="shared" si="3"/>
        <v>260000.00000000003</v>
      </c>
      <c r="M20" s="197">
        <v>156953.04</v>
      </c>
      <c r="N20" s="173"/>
      <c r="O20" s="173"/>
      <c r="P20" s="173"/>
      <c r="Q20" s="173">
        <v>260000</v>
      </c>
      <c r="R20" s="173"/>
      <c r="S20" s="173"/>
      <c r="T20" s="173"/>
      <c r="U20" s="173"/>
      <c r="V20" s="173"/>
      <c r="W20" s="173"/>
      <c r="X20" s="182">
        <f t="shared" si="4"/>
        <v>416953.04000000004</v>
      </c>
    </row>
    <row r="21" spans="1:24" s="131" customFormat="1" ht="37.5">
      <c r="A21" s="138"/>
      <c r="B21" s="138"/>
      <c r="C21" s="137" t="s">
        <v>385</v>
      </c>
      <c r="D21" s="160">
        <f t="shared" si="6"/>
        <v>61559.33</v>
      </c>
      <c r="E21" s="130"/>
      <c r="F21" s="155">
        <f t="shared" si="7"/>
        <v>61559.33</v>
      </c>
      <c r="G21" s="172">
        <f>11559.33+50000</f>
        <v>61559.33</v>
      </c>
      <c r="H21" s="204">
        <f>11559.33</f>
        <v>11559.33</v>
      </c>
      <c r="I21" s="233"/>
      <c r="J21" s="209">
        <f t="shared" si="2"/>
        <v>18.77754355026281</v>
      </c>
      <c r="K21" s="216"/>
      <c r="L21" s="221">
        <f t="shared" si="3"/>
        <v>50000</v>
      </c>
      <c r="M21" s="197">
        <v>11559.33</v>
      </c>
      <c r="N21" s="173"/>
      <c r="O21" s="173"/>
      <c r="P21" s="173">
        <v>50000</v>
      </c>
      <c r="Q21" s="173"/>
      <c r="R21" s="173"/>
      <c r="S21" s="173"/>
      <c r="T21" s="173"/>
      <c r="U21" s="173"/>
      <c r="V21" s="173"/>
      <c r="W21" s="173"/>
      <c r="X21" s="182">
        <f t="shared" si="4"/>
        <v>61559.33</v>
      </c>
    </row>
    <row r="22" spans="1:24" s="131" customFormat="1" ht="18.75">
      <c r="A22" s="138"/>
      <c r="B22" s="138"/>
      <c r="C22" s="137" t="s">
        <v>386</v>
      </c>
      <c r="D22" s="160">
        <f t="shared" si="6"/>
        <v>865220.14</v>
      </c>
      <c r="E22" s="160"/>
      <c r="F22" s="160">
        <f t="shared" si="7"/>
        <v>865220.14</v>
      </c>
      <c r="G22" s="172">
        <f>745220.14+120000</f>
        <v>865220.14</v>
      </c>
      <c r="H22" s="204">
        <f>745220.14+51453.47</f>
        <v>796673.61</v>
      </c>
      <c r="I22" s="233"/>
      <c r="J22" s="209">
        <f t="shared" si="2"/>
        <v>92.07756190233852</v>
      </c>
      <c r="K22" s="216"/>
      <c r="L22" s="221">
        <f t="shared" si="3"/>
        <v>68546.53000000003</v>
      </c>
      <c r="M22" s="197">
        <v>745220.14</v>
      </c>
      <c r="N22" s="173"/>
      <c r="O22" s="173"/>
      <c r="P22" s="173">
        <v>120000</v>
      </c>
      <c r="Q22" s="173"/>
      <c r="R22" s="173"/>
      <c r="S22" s="173"/>
      <c r="T22" s="173"/>
      <c r="U22" s="173"/>
      <c r="V22" s="173"/>
      <c r="W22" s="173"/>
      <c r="X22" s="182">
        <f t="shared" si="4"/>
        <v>865220.14</v>
      </c>
    </row>
    <row r="23" spans="1:24" s="131" customFormat="1" ht="18.75">
      <c r="A23" s="170"/>
      <c r="B23" s="171"/>
      <c r="C23" s="137" t="s">
        <v>254</v>
      </c>
      <c r="D23" s="160">
        <f t="shared" si="6"/>
        <v>100000</v>
      </c>
      <c r="E23" s="187"/>
      <c r="F23" s="160">
        <f t="shared" si="7"/>
        <v>100000</v>
      </c>
      <c r="G23" s="172">
        <v>100000</v>
      </c>
      <c r="H23" s="206">
        <v>0</v>
      </c>
      <c r="I23" s="233"/>
      <c r="J23" s="209">
        <f t="shared" si="2"/>
        <v>0</v>
      </c>
      <c r="K23" s="216"/>
      <c r="L23" s="221">
        <f t="shared" si="3"/>
        <v>100000</v>
      </c>
      <c r="M23" s="197"/>
      <c r="N23" s="173"/>
      <c r="O23" s="173"/>
      <c r="P23" s="173">
        <v>100000</v>
      </c>
      <c r="Q23" s="173"/>
      <c r="R23" s="173"/>
      <c r="S23" s="173"/>
      <c r="T23" s="173"/>
      <c r="U23" s="173"/>
      <c r="V23" s="173"/>
      <c r="W23" s="173"/>
      <c r="X23" s="182">
        <f t="shared" si="4"/>
        <v>100000</v>
      </c>
    </row>
    <row r="24" spans="1:24" s="131" customFormat="1" ht="18.75">
      <c r="A24" s="170"/>
      <c r="B24" s="171"/>
      <c r="C24" s="137" t="s">
        <v>255</v>
      </c>
      <c r="D24" s="160">
        <f t="shared" si="6"/>
        <v>450000</v>
      </c>
      <c r="E24" s="187"/>
      <c r="F24" s="160">
        <f t="shared" si="7"/>
        <v>450000</v>
      </c>
      <c r="G24" s="172">
        <v>450000</v>
      </c>
      <c r="H24" s="206">
        <f>17000+209206</f>
        <v>226206</v>
      </c>
      <c r="I24" s="233"/>
      <c r="J24" s="209">
        <f t="shared" si="2"/>
        <v>50.268</v>
      </c>
      <c r="K24" s="216"/>
      <c r="L24" s="221">
        <f t="shared" si="3"/>
        <v>223794</v>
      </c>
      <c r="M24" s="197"/>
      <c r="N24" s="173"/>
      <c r="O24" s="173"/>
      <c r="P24" s="173">
        <v>450000</v>
      </c>
      <c r="Q24" s="173"/>
      <c r="R24" s="173"/>
      <c r="S24" s="173">
        <v>-200000</v>
      </c>
      <c r="T24" s="173">
        <v>200000</v>
      </c>
      <c r="U24" s="173"/>
      <c r="V24" s="173"/>
      <c r="W24" s="173"/>
      <c r="X24" s="182">
        <f t="shared" si="4"/>
        <v>450000</v>
      </c>
    </row>
    <row r="25" spans="1:24" s="131" customFormat="1" ht="18.75">
      <c r="A25" s="170"/>
      <c r="B25" s="171"/>
      <c r="C25" s="137" t="s">
        <v>387</v>
      </c>
      <c r="D25" s="160">
        <f t="shared" si="6"/>
        <v>1100000</v>
      </c>
      <c r="E25" s="187"/>
      <c r="F25" s="160">
        <f t="shared" si="7"/>
        <v>1100000</v>
      </c>
      <c r="G25" s="172">
        <v>1100000</v>
      </c>
      <c r="H25" s="206">
        <f>734925.13+339393+18811.97+220</f>
        <v>1093350.0999999999</v>
      </c>
      <c r="I25" s="233"/>
      <c r="J25" s="209">
        <f t="shared" si="2"/>
        <v>99.39546363636363</v>
      </c>
      <c r="K25" s="216"/>
      <c r="L25" s="221">
        <f t="shared" si="3"/>
        <v>6649.90000000014</v>
      </c>
      <c r="M25" s="197"/>
      <c r="N25" s="173"/>
      <c r="O25" s="173"/>
      <c r="P25" s="173">
        <v>400000</v>
      </c>
      <c r="Q25" s="173">
        <v>350000</v>
      </c>
      <c r="R25" s="173">
        <v>350000</v>
      </c>
      <c r="S25" s="173"/>
      <c r="T25" s="173"/>
      <c r="U25" s="173"/>
      <c r="V25" s="173"/>
      <c r="W25" s="173"/>
      <c r="X25" s="182">
        <f t="shared" si="4"/>
        <v>1100000</v>
      </c>
    </row>
    <row r="26" spans="1:24" s="131" customFormat="1" ht="37.5">
      <c r="A26" s="170"/>
      <c r="B26" s="171"/>
      <c r="C26" s="137" t="s">
        <v>388</v>
      </c>
      <c r="D26" s="160">
        <f t="shared" si="6"/>
        <v>500000</v>
      </c>
      <c r="E26" s="187"/>
      <c r="F26" s="160">
        <f t="shared" si="7"/>
        <v>500000</v>
      </c>
      <c r="G26" s="172">
        <f>500000</f>
        <v>500000</v>
      </c>
      <c r="H26" s="206">
        <v>0</v>
      </c>
      <c r="I26" s="233"/>
      <c r="J26" s="209"/>
      <c r="K26" s="216"/>
      <c r="L26" s="221">
        <f t="shared" si="3"/>
        <v>76000</v>
      </c>
      <c r="M26" s="197"/>
      <c r="N26" s="173"/>
      <c r="O26" s="173"/>
      <c r="P26" s="173"/>
      <c r="Q26" s="173"/>
      <c r="R26" s="173"/>
      <c r="S26" s="173">
        <v>76000</v>
      </c>
      <c r="T26" s="173"/>
      <c r="U26" s="173"/>
      <c r="V26" s="173"/>
      <c r="W26" s="173">
        <v>424000</v>
      </c>
      <c r="X26" s="182">
        <f t="shared" si="4"/>
        <v>500000</v>
      </c>
    </row>
    <row r="27" spans="1:24" s="131" customFormat="1" ht="37.5">
      <c r="A27" s="170"/>
      <c r="B27" s="171"/>
      <c r="C27" s="137" t="s">
        <v>260</v>
      </c>
      <c r="D27" s="160">
        <f t="shared" si="6"/>
        <v>40000</v>
      </c>
      <c r="E27" s="187"/>
      <c r="F27" s="160">
        <f t="shared" si="7"/>
        <v>40000</v>
      </c>
      <c r="G27" s="172">
        <v>40000</v>
      </c>
      <c r="H27" s="206">
        <v>0</v>
      </c>
      <c r="I27" s="233"/>
      <c r="J27" s="209"/>
      <c r="K27" s="216"/>
      <c r="L27" s="221">
        <f t="shared" si="3"/>
        <v>40000</v>
      </c>
      <c r="M27" s="197"/>
      <c r="N27" s="173"/>
      <c r="O27" s="173"/>
      <c r="P27" s="173">
        <v>10000</v>
      </c>
      <c r="Q27" s="173">
        <v>30000</v>
      </c>
      <c r="R27" s="173"/>
      <c r="S27" s="173"/>
      <c r="T27" s="173"/>
      <c r="U27" s="173"/>
      <c r="V27" s="173"/>
      <c r="W27" s="173"/>
      <c r="X27" s="182">
        <f t="shared" si="4"/>
        <v>40000</v>
      </c>
    </row>
    <row r="28" spans="1:24" s="131" customFormat="1" ht="37.5">
      <c r="A28" s="170"/>
      <c r="B28" s="171"/>
      <c r="C28" s="137" t="s">
        <v>258</v>
      </c>
      <c r="D28" s="160">
        <f t="shared" si="6"/>
        <v>60000</v>
      </c>
      <c r="E28" s="187"/>
      <c r="F28" s="160">
        <f t="shared" si="7"/>
        <v>60000</v>
      </c>
      <c r="G28" s="160">
        <v>60000</v>
      </c>
      <c r="H28" s="206">
        <v>0</v>
      </c>
      <c r="I28" s="233"/>
      <c r="J28" s="209"/>
      <c r="K28" s="216"/>
      <c r="L28" s="221">
        <f t="shared" si="3"/>
        <v>60000</v>
      </c>
      <c r="M28" s="197"/>
      <c r="N28" s="173"/>
      <c r="O28" s="173"/>
      <c r="P28" s="173">
        <v>15000</v>
      </c>
      <c r="Q28" s="173">
        <v>45000</v>
      </c>
      <c r="R28" s="173"/>
      <c r="S28" s="173"/>
      <c r="T28" s="173"/>
      <c r="U28" s="173"/>
      <c r="V28" s="173"/>
      <c r="W28" s="173"/>
      <c r="X28" s="182">
        <f t="shared" si="4"/>
        <v>60000</v>
      </c>
    </row>
    <row r="29" spans="1:24" s="131" customFormat="1" ht="37.5">
      <c r="A29" s="170"/>
      <c r="B29" s="171"/>
      <c r="C29" s="137" t="s">
        <v>259</v>
      </c>
      <c r="D29" s="160">
        <f t="shared" si="6"/>
        <v>300000</v>
      </c>
      <c r="E29" s="187"/>
      <c r="F29" s="160">
        <f t="shared" si="7"/>
        <v>300000</v>
      </c>
      <c r="G29" s="160">
        <v>300000</v>
      </c>
      <c r="H29" s="206">
        <v>10833.73</v>
      </c>
      <c r="I29" s="233"/>
      <c r="J29" s="209">
        <f t="shared" si="2"/>
        <v>3.6112433333333334</v>
      </c>
      <c r="K29" s="216"/>
      <c r="L29" s="221">
        <f t="shared" si="3"/>
        <v>289166.27</v>
      </c>
      <c r="M29" s="197"/>
      <c r="N29" s="173"/>
      <c r="O29" s="173"/>
      <c r="P29" s="173">
        <v>35000</v>
      </c>
      <c r="Q29" s="173">
        <v>265000</v>
      </c>
      <c r="R29" s="173"/>
      <c r="S29" s="173"/>
      <c r="T29" s="173"/>
      <c r="U29" s="173"/>
      <c r="V29" s="173"/>
      <c r="W29" s="173"/>
      <c r="X29" s="182">
        <f t="shared" si="4"/>
        <v>300000</v>
      </c>
    </row>
    <row r="30" spans="1:24" s="131" customFormat="1" ht="37.5">
      <c r="A30" s="170"/>
      <c r="B30" s="171"/>
      <c r="C30" s="137" t="s">
        <v>389</v>
      </c>
      <c r="D30" s="160">
        <f t="shared" si="6"/>
        <v>650000</v>
      </c>
      <c r="E30" s="187"/>
      <c r="F30" s="160">
        <f t="shared" si="7"/>
        <v>650000</v>
      </c>
      <c r="G30" s="160">
        <v>650000</v>
      </c>
      <c r="H30" s="206">
        <f>9702.61+121416+193587.53+819+104876+1924.61</f>
        <v>432325.75</v>
      </c>
      <c r="I30" s="233"/>
      <c r="J30" s="209">
        <f t="shared" si="2"/>
        <v>66.51165384615385</v>
      </c>
      <c r="K30" s="216"/>
      <c r="L30" s="221">
        <f t="shared" si="3"/>
        <v>217674.25</v>
      </c>
      <c r="M30" s="197"/>
      <c r="N30" s="173"/>
      <c r="O30" s="173"/>
      <c r="P30" s="173">
        <v>650000</v>
      </c>
      <c r="Q30" s="173"/>
      <c r="R30" s="173"/>
      <c r="S30" s="173">
        <f>-200000</f>
        <v>-200000</v>
      </c>
      <c r="T30" s="173">
        <v>200000</v>
      </c>
      <c r="U30" s="173"/>
      <c r="V30" s="173"/>
      <c r="W30" s="173"/>
      <c r="X30" s="182">
        <f t="shared" si="4"/>
        <v>650000</v>
      </c>
    </row>
    <row r="31" spans="1:24" s="131" customFormat="1" ht="18.75">
      <c r="A31" s="170"/>
      <c r="B31" s="171"/>
      <c r="C31" s="137" t="s">
        <v>261</v>
      </c>
      <c r="D31" s="160">
        <f t="shared" si="6"/>
        <v>250000</v>
      </c>
      <c r="E31" s="187"/>
      <c r="F31" s="160">
        <f t="shared" si="7"/>
        <v>250000</v>
      </c>
      <c r="G31" s="172">
        <v>250000</v>
      </c>
      <c r="H31" s="206">
        <v>0</v>
      </c>
      <c r="I31" s="233"/>
      <c r="J31" s="209"/>
      <c r="K31" s="216"/>
      <c r="L31" s="221">
        <f t="shared" si="3"/>
        <v>250000</v>
      </c>
      <c r="M31" s="197"/>
      <c r="N31" s="173"/>
      <c r="O31" s="173"/>
      <c r="P31" s="173">
        <v>250000</v>
      </c>
      <c r="Q31" s="173"/>
      <c r="R31" s="173"/>
      <c r="S31" s="173"/>
      <c r="T31" s="173"/>
      <c r="U31" s="173"/>
      <c r="V31" s="173"/>
      <c r="W31" s="173"/>
      <c r="X31" s="182">
        <f t="shared" si="4"/>
        <v>250000</v>
      </c>
    </row>
    <row r="32" spans="1:24" s="131" customFormat="1" ht="37.5">
      <c r="A32" s="170"/>
      <c r="B32" s="171"/>
      <c r="C32" s="137" t="s">
        <v>262</v>
      </c>
      <c r="D32" s="160">
        <f t="shared" si="6"/>
        <v>120000</v>
      </c>
      <c r="E32" s="187"/>
      <c r="F32" s="160">
        <f t="shared" si="7"/>
        <v>120000</v>
      </c>
      <c r="G32" s="172">
        <v>120000</v>
      </c>
      <c r="H32" s="206">
        <v>0</v>
      </c>
      <c r="I32" s="233"/>
      <c r="J32" s="209"/>
      <c r="K32" s="216"/>
      <c r="L32" s="221">
        <f t="shared" si="3"/>
        <v>120000</v>
      </c>
      <c r="M32" s="197"/>
      <c r="N32" s="173"/>
      <c r="O32" s="173"/>
      <c r="P32" s="173">
        <v>120000</v>
      </c>
      <c r="Q32" s="173"/>
      <c r="R32" s="173"/>
      <c r="S32" s="173"/>
      <c r="T32" s="173"/>
      <c r="U32" s="173"/>
      <c r="V32" s="173"/>
      <c r="W32" s="173"/>
      <c r="X32" s="182">
        <f t="shared" si="4"/>
        <v>120000</v>
      </c>
    </row>
    <row r="33" spans="1:24" s="131" customFormat="1" ht="18.75">
      <c r="A33" s="170"/>
      <c r="B33" s="171"/>
      <c r="C33" s="137" t="s">
        <v>267</v>
      </c>
      <c r="D33" s="160">
        <f t="shared" si="6"/>
        <v>1120000</v>
      </c>
      <c r="E33" s="187"/>
      <c r="F33" s="160">
        <f t="shared" si="7"/>
        <v>1120000</v>
      </c>
      <c r="G33" s="172">
        <v>1120000</v>
      </c>
      <c r="H33" s="206">
        <f>23495.13+895000+80990.45</f>
        <v>999485.58</v>
      </c>
      <c r="I33" s="233"/>
      <c r="J33" s="209">
        <f t="shared" si="2"/>
        <v>89.23978392857143</v>
      </c>
      <c r="K33" s="216"/>
      <c r="L33" s="221">
        <f t="shared" si="3"/>
        <v>120514.42000000004</v>
      </c>
      <c r="M33" s="197"/>
      <c r="N33" s="173"/>
      <c r="O33" s="173"/>
      <c r="P33" s="173"/>
      <c r="Q33" s="173"/>
      <c r="R33" s="173"/>
      <c r="S33" s="173">
        <f>520000+400000</f>
        <v>920000</v>
      </c>
      <c r="T33" s="173">
        <f>600000-400000</f>
        <v>200000</v>
      </c>
      <c r="U33" s="173"/>
      <c r="V33" s="173"/>
      <c r="W33" s="173"/>
      <c r="X33" s="182">
        <f t="shared" si="4"/>
        <v>1120000</v>
      </c>
    </row>
    <row r="34" spans="1:24" s="131" customFormat="1" ht="18.75">
      <c r="A34" s="170"/>
      <c r="B34" s="171"/>
      <c r="C34" s="137" t="s">
        <v>263</v>
      </c>
      <c r="D34" s="160">
        <f t="shared" si="6"/>
        <v>600000</v>
      </c>
      <c r="E34" s="187"/>
      <c r="F34" s="160">
        <f t="shared" si="7"/>
        <v>600000</v>
      </c>
      <c r="G34" s="172">
        <v>600000</v>
      </c>
      <c r="H34" s="206">
        <v>0</v>
      </c>
      <c r="I34" s="233"/>
      <c r="J34" s="209"/>
      <c r="K34" s="216"/>
      <c r="L34" s="221">
        <f t="shared" si="3"/>
        <v>490267.79</v>
      </c>
      <c r="M34" s="197"/>
      <c r="N34" s="173"/>
      <c r="O34" s="173"/>
      <c r="P34" s="173">
        <v>50000</v>
      </c>
      <c r="Q34" s="173"/>
      <c r="R34" s="173"/>
      <c r="S34" s="173"/>
      <c r="T34" s="173">
        <v>440267.79</v>
      </c>
      <c r="U34" s="173">
        <v>109732.21</v>
      </c>
      <c r="V34" s="173"/>
      <c r="W34" s="173"/>
      <c r="X34" s="182">
        <f t="shared" si="4"/>
        <v>600000</v>
      </c>
    </row>
    <row r="35" spans="1:24" s="131" customFormat="1" ht="27.75" customHeight="1">
      <c r="A35" s="270" t="s">
        <v>264</v>
      </c>
      <c r="B35" s="271"/>
      <c r="C35" s="271"/>
      <c r="D35" s="271"/>
      <c r="E35" s="271"/>
      <c r="F35" s="271"/>
      <c r="G35" s="271"/>
      <c r="H35" s="271"/>
      <c r="I35" s="271"/>
      <c r="J35" s="272"/>
      <c r="K35" s="216"/>
      <c r="L35" s="221">
        <f t="shared" si="3"/>
        <v>0</v>
      </c>
      <c r="X35" s="155"/>
    </row>
    <row r="36" spans="1:24" s="131" customFormat="1" ht="27.75" customHeight="1">
      <c r="A36" s="150">
        <v>2</v>
      </c>
      <c r="B36" s="151"/>
      <c r="C36" s="161" t="s">
        <v>265</v>
      </c>
      <c r="D36" s="152">
        <f>D37</f>
        <v>701896.79</v>
      </c>
      <c r="E36" s="151"/>
      <c r="F36" s="152">
        <f>G36</f>
        <v>701896.79</v>
      </c>
      <c r="G36" s="152">
        <f>G37</f>
        <v>701896.79</v>
      </c>
      <c r="H36" s="175">
        <f>H37</f>
        <v>701896.79</v>
      </c>
      <c r="I36" s="175"/>
      <c r="J36" s="227">
        <f aca="true" t="shared" si="8" ref="J36:J83">H36/(M36+N36+O36+P36+Q36+R36+S36+T36)*100</f>
        <v>100</v>
      </c>
      <c r="K36" s="218"/>
      <c r="L36" s="220">
        <f t="shared" si="3"/>
        <v>0</v>
      </c>
      <c r="M36" s="198">
        <f>M37</f>
        <v>701896.79</v>
      </c>
      <c r="N36" s="175">
        <f aca="true" t="shared" si="9" ref="N36:X37">N37</f>
        <v>0</v>
      </c>
      <c r="O36" s="175">
        <f t="shared" si="9"/>
        <v>0</v>
      </c>
      <c r="P36" s="175">
        <f t="shared" si="9"/>
        <v>0</v>
      </c>
      <c r="Q36" s="175">
        <f t="shared" si="9"/>
        <v>0</v>
      </c>
      <c r="R36" s="175">
        <f t="shared" si="9"/>
        <v>0</v>
      </c>
      <c r="S36" s="175">
        <f t="shared" si="9"/>
        <v>0</v>
      </c>
      <c r="T36" s="175">
        <f t="shared" si="9"/>
        <v>0</v>
      </c>
      <c r="U36" s="175">
        <f t="shared" si="9"/>
        <v>0</v>
      </c>
      <c r="V36" s="175">
        <f t="shared" si="9"/>
        <v>0</v>
      </c>
      <c r="W36" s="175">
        <f t="shared" si="9"/>
        <v>0</v>
      </c>
      <c r="X36" s="175">
        <f t="shared" si="9"/>
        <v>701896.79</v>
      </c>
    </row>
    <row r="37" spans="1:24" s="131" customFormat="1" ht="23.25" customHeight="1">
      <c r="A37" s="133" t="s">
        <v>199</v>
      </c>
      <c r="B37" s="168"/>
      <c r="C37" s="159" t="s">
        <v>253</v>
      </c>
      <c r="D37" s="162">
        <f>F37</f>
        <v>701896.79</v>
      </c>
      <c r="E37" s="138"/>
      <c r="F37" s="162">
        <f>G37</f>
        <v>701896.79</v>
      </c>
      <c r="G37" s="162">
        <f>G38</f>
        <v>701896.79</v>
      </c>
      <c r="H37" s="176">
        <f>H38</f>
        <v>701896.79</v>
      </c>
      <c r="I37" s="176"/>
      <c r="J37" s="214">
        <f t="shared" si="8"/>
        <v>100</v>
      </c>
      <c r="K37" s="217"/>
      <c r="L37" s="220">
        <f t="shared" si="3"/>
        <v>0</v>
      </c>
      <c r="M37" s="199">
        <f>M38</f>
        <v>701896.79</v>
      </c>
      <c r="N37" s="176">
        <f t="shared" si="9"/>
        <v>0</v>
      </c>
      <c r="O37" s="176">
        <f t="shared" si="9"/>
        <v>0</v>
      </c>
      <c r="P37" s="176">
        <f t="shared" si="9"/>
        <v>0</v>
      </c>
      <c r="Q37" s="176">
        <f t="shared" si="9"/>
        <v>0</v>
      </c>
      <c r="R37" s="176">
        <f t="shared" si="9"/>
        <v>0</v>
      </c>
      <c r="S37" s="176">
        <f t="shared" si="9"/>
        <v>0</v>
      </c>
      <c r="T37" s="176">
        <f t="shared" si="9"/>
        <v>0</v>
      </c>
      <c r="U37" s="176">
        <f t="shared" si="9"/>
        <v>0</v>
      </c>
      <c r="V37" s="176">
        <f t="shared" si="9"/>
        <v>0</v>
      </c>
      <c r="W37" s="176">
        <f t="shared" si="9"/>
        <v>0</v>
      </c>
      <c r="X37" s="176">
        <f t="shared" si="9"/>
        <v>701896.79</v>
      </c>
    </row>
    <row r="38" spans="1:24" s="131" customFormat="1" ht="38.25" customHeight="1">
      <c r="A38" s="133"/>
      <c r="B38" s="168"/>
      <c r="C38" s="137" t="s">
        <v>226</v>
      </c>
      <c r="D38" s="160">
        <f>F38</f>
        <v>701896.79</v>
      </c>
      <c r="E38" s="138"/>
      <c r="F38" s="160">
        <f>G38</f>
        <v>701896.79</v>
      </c>
      <c r="G38" s="160">
        <v>701896.79</v>
      </c>
      <c r="H38" s="207">
        <v>701896.79</v>
      </c>
      <c r="I38" s="224"/>
      <c r="J38" s="209">
        <f t="shared" si="8"/>
        <v>100</v>
      </c>
      <c r="K38" s="216"/>
      <c r="L38" s="221">
        <f t="shared" si="3"/>
        <v>0</v>
      </c>
      <c r="M38" s="200">
        <v>701896.79</v>
      </c>
      <c r="N38" s="189"/>
      <c r="O38" s="189"/>
      <c r="P38" s="189"/>
      <c r="Q38" s="189"/>
      <c r="R38" s="189"/>
      <c r="S38" s="189"/>
      <c r="T38" s="189"/>
      <c r="U38" s="189"/>
      <c r="V38" s="189"/>
      <c r="W38" s="189"/>
      <c r="X38" s="182">
        <f t="shared" si="4"/>
        <v>701896.79</v>
      </c>
    </row>
    <row r="39" spans="1:24" s="131" customFormat="1" ht="45.75" customHeight="1">
      <c r="A39" s="150">
        <v>3</v>
      </c>
      <c r="B39" s="169"/>
      <c r="C39" s="151" t="s">
        <v>205</v>
      </c>
      <c r="D39" s="152">
        <f>D40</f>
        <v>20745187.960000005</v>
      </c>
      <c r="E39" s="152"/>
      <c r="F39" s="152">
        <f>F40</f>
        <v>20745187.960000005</v>
      </c>
      <c r="G39" s="152">
        <f>G40</f>
        <v>20745187.960000005</v>
      </c>
      <c r="H39" s="175">
        <f>H40</f>
        <v>1923067.71</v>
      </c>
      <c r="I39" s="175"/>
      <c r="J39" s="227">
        <f t="shared" si="8"/>
        <v>9.319361247049187</v>
      </c>
      <c r="K39" s="218"/>
      <c r="L39" s="220">
        <f t="shared" si="3"/>
        <v>18712120.25</v>
      </c>
      <c r="M39" s="198">
        <f>M40</f>
        <v>471102.4199999999</v>
      </c>
      <c r="N39" s="175">
        <f aca="true" t="shared" si="10" ref="N39:X39">N40</f>
        <v>0</v>
      </c>
      <c r="O39" s="175">
        <f t="shared" si="10"/>
        <v>0</v>
      </c>
      <c r="P39" s="175">
        <f t="shared" si="10"/>
        <v>446782.66</v>
      </c>
      <c r="Q39" s="175">
        <f t="shared" si="10"/>
        <v>2622872.3</v>
      </c>
      <c r="R39" s="175">
        <f t="shared" si="10"/>
        <v>1808135.9700000002</v>
      </c>
      <c r="S39" s="175">
        <f t="shared" si="10"/>
        <v>8541948.33</v>
      </c>
      <c r="T39" s="175">
        <f t="shared" si="10"/>
        <v>6744346.28</v>
      </c>
      <c r="U39" s="175">
        <f t="shared" si="10"/>
        <v>110000</v>
      </c>
      <c r="V39" s="175">
        <f t="shared" si="10"/>
        <v>0</v>
      </c>
      <c r="W39" s="175">
        <f t="shared" si="10"/>
        <v>0</v>
      </c>
      <c r="X39" s="175">
        <f t="shared" si="10"/>
        <v>20745187.960000005</v>
      </c>
    </row>
    <row r="40" spans="1:24" s="131" customFormat="1" ht="26.25" customHeight="1">
      <c r="A40" s="133" t="s">
        <v>200</v>
      </c>
      <c r="B40" s="159" t="s">
        <v>253</v>
      </c>
      <c r="C40" s="159" t="s">
        <v>253</v>
      </c>
      <c r="D40" s="163">
        <f>SUM(D41:D82)</f>
        <v>20745187.960000005</v>
      </c>
      <c r="E40" s="163"/>
      <c r="F40" s="163">
        <f>SUM(F41:F82)</f>
        <v>20745187.960000005</v>
      </c>
      <c r="G40" s="163">
        <f>SUM(G41:G82)</f>
        <v>20745187.960000005</v>
      </c>
      <c r="H40" s="177">
        <f>SUM(H41:H82)</f>
        <v>1923067.71</v>
      </c>
      <c r="I40" s="225"/>
      <c r="J40" s="214">
        <f t="shared" si="8"/>
        <v>9.319361247049187</v>
      </c>
      <c r="K40" s="217"/>
      <c r="L40" s="220">
        <f t="shared" si="3"/>
        <v>18712120.25</v>
      </c>
      <c r="M40" s="201">
        <f>SUM(M41:M82)</f>
        <v>471102.4199999999</v>
      </c>
      <c r="N40" s="177">
        <f aca="true" t="shared" si="11" ref="N40:W40">SUM(N41:N82)</f>
        <v>0</v>
      </c>
      <c r="O40" s="177">
        <f t="shared" si="11"/>
        <v>0</v>
      </c>
      <c r="P40" s="177">
        <f t="shared" si="11"/>
        <v>446782.66</v>
      </c>
      <c r="Q40" s="177">
        <f t="shared" si="11"/>
        <v>2622872.3</v>
      </c>
      <c r="R40" s="177">
        <f t="shared" si="11"/>
        <v>1808135.9700000002</v>
      </c>
      <c r="S40" s="177">
        <f t="shared" si="11"/>
        <v>8541948.33</v>
      </c>
      <c r="T40" s="177">
        <f t="shared" si="11"/>
        <v>6744346.28</v>
      </c>
      <c r="U40" s="177">
        <f t="shared" si="11"/>
        <v>110000</v>
      </c>
      <c r="V40" s="177">
        <f t="shared" si="11"/>
        <v>0</v>
      </c>
      <c r="W40" s="177">
        <f t="shared" si="11"/>
        <v>0</v>
      </c>
      <c r="X40" s="177">
        <f>SUM(X41:X82)</f>
        <v>20745187.960000005</v>
      </c>
    </row>
    <row r="41" spans="1:24" s="131" customFormat="1" ht="37.5">
      <c r="A41" s="133"/>
      <c r="B41" s="159"/>
      <c r="C41" s="137" t="s">
        <v>390</v>
      </c>
      <c r="D41" s="160">
        <f aca="true" t="shared" si="12" ref="D41:D82">F41</f>
        <v>270716.12</v>
      </c>
      <c r="E41" s="130"/>
      <c r="F41" s="155">
        <f aca="true" t="shared" si="13" ref="F41:F82">G41</f>
        <v>270716.12</v>
      </c>
      <c r="G41" s="155">
        <f>49960.56+220755.56</f>
        <v>270716.12</v>
      </c>
      <c r="H41" s="204">
        <f>49960.56</f>
        <v>49960.56</v>
      </c>
      <c r="I41" s="222"/>
      <c r="J41" s="209">
        <f t="shared" si="8"/>
        <v>18.4549630808834</v>
      </c>
      <c r="K41" s="216"/>
      <c r="L41" s="221">
        <f t="shared" si="3"/>
        <v>220755.56</v>
      </c>
      <c r="M41" s="202">
        <v>49960.56</v>
      </c>
      <c r="N41" s="174"/>
      <c r="O41" s="174"/>
      <c r="P41" s="178">
        <v>100000</v>
      </c>
      <c r="Q41" s="178">
        <v>120755.56</v>
      </c>
      <c r="R41" s="174"/>
      <c r="S41" s="174"/>
      <c r="T41" s="174"/>
      <c r="U41" s="174"/>
      <c r="V41" s="174"/>
      <c r="W41" s="174"/>
      <c r="X41" s="182">
        <f>SUM(M41:W41)</f>
        <v>270716.12</v>
      </c>
    </row>
    <row r="42" spans="1:24" s="131" customFormat="1" ht="37.5">
      <c r="A42" s="133"/>
      <c r="B42" s="159"/>
      <c r="C42" s="137" t="s">
        <v>391</v>
      </c>
      <c r="D42" s="160">
        <f t="shared" si="12"/>
        <v>157297.6</v>
      </c>
      <c r="E42" s="130"/>
      <c r="F42" s="155">
        <f t="shared" si="13"/>
        <v>157297.6</v>
      </c>
      <c r="G42" s="155">
        <f>8949.6+148000+348</f>
        <v>157297.6</v>
      </c>
      <c r="H42" s="204">
        <f>348+8949.6</f>
        <v>9297.6</v>
      </c>
      <c r="I42" s="222"/>
      <c r="J42" s="209">
        <f t="shared" si="8"/>
        <v>5.9108339860239445</v>
      </c>
      <c r="K42" s="216"/>
      <c r="L42" s="221">
        <f t="shared" si="3"/>
        <v>148000</v>
      </c>
      <c r="M42" s="202">
        <v>9297.6</v>
      </c>
      <c r="N42" s="174"/>
      <c r="O42" s="174"/>
      <c r="P42" s="178">
        <v>50000</v>
      </c>
      <c r="Q42" s="178">
        <v>50000</v>
      </c>
      <c r="R42" s="178">
        <v>48000</v>
      </c>
      <c r="S42" s="174"/>
      <c r="T42" s="174"/>
      <c r="U42" s="174"/>
      <c r="V42" s="174"/>
      <c r="W42" s="174"/>
      <c r="X42" s="182">
        <f>SUM(M42:W42)</f>
        <v>157297.6</v>
      </c>
    </row>
    <row r="43" spans="1:24" s="131" customFormat="1" ht="37.5">
      <c r="A43" s="133"/>
      <c r="B43" s="159"/>
      <c r="C43" s="137" t="s">
        <v>245</v>
      </c>
      <c r="D43" s="155">
        <f t="shared" si="12"/>
        <v>9924</v>
      </c>
      <c r="E43" s="155"/>
      <c r="F43" s="155">
        <f t="shared" si="13"/>
        <v>9924</v>
      </c>
      <c r="G43" s="155">
        <v>9924</v>
      </c>
      <c r="H43" s="204">
        <v>9924</v>
      </c>
      <c r="I43" s="222"/>
      <c r="J43" s="209">
        <f t="shared" si="8"/>
        <v>100</v>
      </c>
      <c r="K43" s="216"/>
      <c r="L43" s="221">
        <f t="shared" si="3"/>
        <v>0</v>
      </c>
      <c r="M43" s="202">
        <v>9924</v>
      </c>
      <c r="N43" s="174"/>
      <c r="O43" s="174"/>
      <c r="P43" s="174"/>
      <c r="Q43" s="174"/>
      <c r="R43" s="174"/>
      <c r="S43" s="174"/>
      <c r="T43" s="174"/>
      <c r="U43" s="174"/>
      <c r="V43" s="174"/>
      <c r="W43" s="174"/>
      <c r="X43" s="182">
        <f t="shared" si="4"/>
        <v>9924</v>
      </c>
    </row>
    <row r="44" spans="1:24" s="131" customFormat="1" ht="37.5">
      <c r="A44" s="133"/>
      <c r="B44" s="159"/>
      <c r="C44" s="137" t="s">
        <v>246</v>
      </c>
      <c r="D44" s="155">
        <f t="shared" si="12"/>
        <v>6499.4</v>
      </c>
      <c r="E44" s="155"/>
      <c r="F44" s="155">
        <f t="shared" si="13"/>
        <v>6499.4</v>
      </c>
      <c r="G44" s="155">
        <v>6499.4</v>
      </c>
      <c r="H44" s="204">
        <v>6499.4</v>
      </c>
      <c r="I44" s="222"/>
      <c r="J44" s="209">
        <f t="shared" si="8"/>
        <v>100</v>
      </c>
      <c r="K44" s="216"/>
      <c r="L44" s="221">
        <f t="shared" si="3"/>
        <v>0</v>
      </c>
      <c r="M44" s="202">
        <v>6499.4</v>
      </c>
      <c r="N44" s="174"/>
      <c r="O44" s="174"/>
      <c r="P44" s="174"/>
      <c r="Q44" s="174"/>
      <c r="R44" s="174"/>
      <c r="S44" s="174"/>
      <c r="T44" s="174"/>
      <c r="U44" s="174"/>
      <c r="V44" s="174"/>
      <c r="W44" s="174"/>
      <c r="X44" s="182">
        <f t="shared" si="4"/>
        <v>6499.4</v>
      </c>
    </row>
    <row r="45" spans="1:24" s="131" customFormat="1" ht="37.5">
      <c r="A45" s="133"/>
      <c r="B45" s="159"/>
      <c r="C45" s="137" t="s">
        <v>247</v>
      </c>
      <c r="D45" s="155">
        <f t="shared" si="12"/>
        <v>27770.4</v>
      </c>
      <c r="E45" s="155"/>
      <c r="F45" s="155">
        <f t="shared" si="13"/>
        <v>27770.4</v>
      </c>
      <c r="G45" s="155">
        <v>27770.4</v>
      </c>
      <c r="H45" s="204">
        <v>27770.4</v>
      </c>
      <c r="I45" s="222"/>
      <c r="J45" s="209">
        <f t="shared" si="8"/>
        <v>100</v>
      </c>
      <c r="K45" s="216"/>
      <c r="L45" s="221">
        <f t="shared" si="3"/>
        <v>0</v>
      </c>
      <c r="M45" s="202">
        <v>27770.4</v>
      </c>
      <c r="N45" s="174"/>
      <c r="O45" s="174"/>
      <c r="P45" s="174"/>
      <c r="Q45" s="174"/>
      <c r="R45" s="174"/>
      <c r="S45" s="174"/>
      <c r="T45" s="174"/>
      <c r="U45" s="174"/>
      <c r="V45" s="174"/>
      <c r="W45" s="174"/>
      <c r="X45" s="182">
        <f t="shared" si="4"/>
        <v>27770.4</v>
      </c>
    </row>
    <row r="46" spans="1:24" s="131" customFormat="1" ht="37.5">
      <c r="A46" s="133"/>
      <c r="B46" s="159"/>
      <c r="C46" s="137" t="s">
        <v>392</v>
      </c>
      <c r="D46" s="155">
        <f t="shared" si="12"/>
        <v>285769</v>
      </c>
      <c r="E46" s="155"/>
      <c r="F46" s="155">
        <f t="shared" si="13"/>
        <v>285769</v>
      </c>
      <c r="G46" s="155">
        <f>12769+273000</f>
        <v>285769</v>
      </c>
      <c r="H46" s="204">
        <f>12769+122436.5+118554.5+3568+3957.43</f>
        <v>261285.43</v>
      </c>
      <c r="I46" s="222"/>
      <c r="J46" s="209">
        <f t="shared" si="8"/>
        <v>91.43239119708576</v>
      </c>
      <c r="K46" s="216"/>
      <c r="L46" s="221">
        <f t="shared" si="3"/>
        <v>24483.570000000007</v>
      </c>
      <c r="M46" s="202">
        <v>12769</v>
      </c>
      <c r="N46" s="174"/>
      <c r="O46" s="174"/>
      <c r="P46" s="178">
        <v>90000</v>
      </c>
      <c r="Q46" s="178">
        <v>90000</v>
      </c>
      <c r="R46" s="178">
        <v>93000</v>
      </c>
      <c r="S46" s="178"/>
      <c r="T46" s="174"/>
      <c r="U46" s="174"/>
      <c r="V46" s="174"/>
      <c r="W46" s="174"/>
      <c r="X46" s="182">
        <f t="shared" si="4"/>
        <v>285769</v>
      </c>
    </row>
    <row r="47" spans="1:24" s="131" customFormat="1" ht="27.75" customHeight="1">
      <c r="A47" s="133"/>
      <c r="B47" s="159"/>
      <c r="C47" s="137" t="s">
        <v>393</v>
      </c>
      <c r="D47" s="155">
        <f t="shared" si="12"/>
        <v>299850</v>
      </c>
      <c r="E47" s="155"/>
      <c r="F47" s="155">
        <f t="shared" si="13"/>
        <v>299850</v>
      </c>
      <c r="G47" s="155">
        <f>99850+200000</f>
        <v>299850</v>
      </c>
      <c r="H47" s="204">
        <f>99850</f>
        <v>99850</v>
      </c>
      <c r="I47" s="222"/>
      <c r="J47" s="209">
        <f t="shared" si="8"/>
        <v>33.29998332499583</v>
      </c>
      <c r="K47" s="216"/>
      <c r="L47" s="221">
        <f t="shared" si="3"/>
        <v>200000</v>
      </c>
      <c r="M47" s="202">
        <v>99850</v>
      </c>
      <c r="N47" s="174"/>
      <c r="O47" s="174"/>
      <c r="P47" s="174"/>
      <c r="Q47" s="178">
        <v>70000</v>
      </c>
      <c r="R47" s="178"/>
      <c r="S47" s="178">
        <v>130000</v>
      </c>
      <c r="T47" s="174"/>
      <c r="U47" s="174"/>
      <c r="V47" s="174"/>
      <c r="W47" s="174"/>
      <c r="X47" s="182">
        <f t="shared" si="4"/>
        <v>299850</v>
      </c>
    </row>
    <row r="48" spans="1:24" s="131" customFormat="1" ht="37.5">
      <c r="A48" s="133"/>
      <c r="B48" s="159"/>
      <c r="C48" s="137" t="s">
        <v>248</v>
      </c>
      <c r="D48" s="155">
        <f t="shared" si="12"/>
        <v>32192</v>
      </c>
      <c r="E48" s="155"/>
      <c r="F48" s="155">
        <f t="shared" si="13"/>
        <v>32192</v>
      </c>
      <c r="G48" s="155">
        <v>32192</v>
      </c>
      <c r="H48" s="204">
        <f>32192</f>
        <v>32192</v>
      </c>
      <c r="I48" s="222"/>
      <c r="J48" s="209">
        <f t="shared" si="8"/>
        <v>100</v>
      </c>
      <c r="K48" s="216"/>
      <c r="L48" s="221">
        <f t="shared" si="3"/>
        <v>0</v>
      </c>
      <c r="M48" s="202">
        <v>32192</v>
      </c>
      <c r="N48" s="174"/>
      <c r="O48" s="174"/>
      <c r="P48" s="174"/>
      <c r="Q48" s="174"/>
      <c r="R48" s="174"/>
      <c r="S48" s="174"/>
      <c r="T48" s="174"/>
      <c r="U48" s="174"/>
      <c r="V48" s="174"/>
      <c r="W48" s="174"/>
      <c r="X48" s="182">
        <f t="shared" si="4"/>
        <v>32192</v>
      </c>
    </row>
    <row r="49" spans="1:24" s="131" customFormat="1" ht="37.5" customHeight="1">
      <c r="A49" s="133"/>
      <c r="B49" s="159"/>
      <c r="C49" s="137" t="s">
        <v>249</v>
      </c>
      <c r="D49" s="155">
        <f t="shared" si="12"/>
        <v>825.71</v>
      </c>
      <c r="E49" s="155"/>
      <c r="F49" s="155">
        <f t="shared" si="13"/>
        <v>825.71</v>
      </c>
      <c r="G49" s="155">
        <v>825.71</v>
      </c>
      <c r="H49" s="204">
        <v>825.71</v>
      </c>
      <c r="I49" s="222"/>
      <c r="J49" s="209">
        <f t="shared" si="8"/>
        <v>100</v>
      </c>
      <c r="K49" s="216"/>
      <c r="L49" s="221">
        <f t="shared" si="3"/>
        <v>0</v>
      </c>
      <c r="M49" s="202">
        <v>825.71</v>
      </c>
      <c r="N49" s="174"/>
      <c r="O49" s="174"/>
      <c r="P49" s="174"/>
      <c r="Q49" s="174"/>
      <c r="R49" s="174"/>
      <c r="S49" s="174"/>
      <c r="T49" s="174"/>
      <c r="U49" s="174"/>
      <c r="V49" s="174"/>
      <c r="W49" s="174"/>
      <c r="X49" s="182">
        <f t="shared" si="4"/>
        <v>825.71</v>
      </c>
    </row>
    <row r="50" spans="1:24" s="131" customFormat="1" ht="37.5" customHeight="1">
      <c r="A50" s="133"/>
      <c r="B50" s="159"/>
      <c r="C50" s="137" t="s">
        <v>394</v>
      </c>
      <c r="D50" s="155">
        <f t="shared" si="12"/>
        <v>126325.71</v>
      </c>
      <c r="E50" s="155"/>
      <c r="F50" s="155">
        <f t="shared" si="13"/>
        <v>126325.71</v>
      </c>
      <c r="G50" s="155">
        <f>825.71+125500</f>
        <v>126325.71</v>
      </c>
      <c r="H50" s="204">
        <f>825.71</f>
        <v>825.71</v>
      </c>
      <c r="I50" s="222"/>
      <c r="J50" s="209">
        <f t="shared" si="8"/>
        <v>0.6536357484157421</v>
      </c>
      <c r="K50" s="216"/>
      <c r="L50" s="221">
        <f t="shared" si="3"/>
        <v>125500</v>
      </c>
      <c r="M50" s="202">
        <v>825.71</v>
      </c>
      <c r="N50" s="174"/>
      <c r="O50" s="174"/>
      <c r="P50" s="174"/>
      <c r="Q50" s="178">
        <v>87850</v>
      </c>
      <c r="R50" s="178">
        <v>37650</v>
      </c>
      <c r="S50" s="178"/>
      <c r="T50" s="174"/>
      <c r="U50" s="174"/>
      <c r="V50" s="174"/>
      <c r="W50" s="174"/>
      <c r="X50" s="182">
        <f t="shared" si="4"/>
        <v>126325.71</v>
      </c>
    </row>
    <row r="51" spans="1:24" s="131" customFormat="1" ht="37.5" customHeight="1">
      <c r="A51" s="133"/>
      <c r="B51" s="159"/>
      <c r="C51" s="137" t="s">
        <v>250</v>
      </c>
      <c r="D51" s="155">
        <f t="shared" si="12"/>
        <v>825.71</v>
      </c>
      <c r="E51" s="155"/>
      <c r="F51" s="155">
        <f t="shared" si="13"/>
        <v>825.71</v>
      </c>
      <c r="G51" s="155">
        <v>825.71</v>
      </c>
      <c r="H51" s="204">
        <v>825.71</v>
      </c>
      <c r="I51" s="222"/>
      <c r="J51" s="209">
        <f t="shared" si="8"/>
        <v>100</v>
      </c>
      <c r="K51" s="216"/>
      <c r="L51" s="221">
        <f t="shared" si="3"/>
        <v>0</v>
      </c>
      <c r="M51" s="202">
        <v>825.71</v>
      </c>
      <c r="N51" s="174"/>
      <c r="O51" s="174"/>
      <c r="P51" s="174"/>
      <c r="Q51" s="174"/>
      <c r="R51" s="174"/>
      <c r="S51" s="174"/>
      <c r="T51" s="174"/>
      <c r="U51" s="174"/>
      <c r="V51" s="174"/>
      <c r="W51" s="174"/>
      <c r="X51" s="182">
        <f t="shared" si="4"/>
        <v>825.71</v>
      </c>
    </row>
    <row r="52" spans="1:24" s="131" customFormat="1" ht="37.5" customHeight="1">
      <c r="A52" s="133"/>
      <c r="B52" s="159"/>
      <c r="C52" s="137" t="s">
        <v>395</v>
      </c>
      <c r="D52" s="155">
        <f t="shared" si="12"/>
        <v>137769.11</v>
      </c>
      <c r="E52" s="155"/>
      <c r="F52" s="155">
        <f t="shared" si="13"/>
        <v>137769.11</v>
      </c>
      <c r="G52" s="155">
        <f>95769.11+45000-3000</f>
        <v>137769.11</v>
      </c>
      <c r="H52" s="204">
        <f>95769.11</f>
        <v>95769.11</v>
      </c>
      <c r="I52" s="222"/>
      <c r="J52" s="209">
        <f t="shared" si="8"/>
        <v>69.51421113194388</v>
      </c>
      <c r="K52" s="216"/>
      <c r="L52" s="221">
        <f t="shared" si="3"/>
        <v>41999.999999999985</v>
      </c>
      <c r="M52" s="202">
        <v>95769.11</v>
      </c>
      <c r="N52" s="174"/>
      <c r="O52" s="174"/>
      <c r="P52" s="178">
        <v>15000</v>
      </c>
      <c r="Q52" s="178">
        <v>-3000</v>
      </c>
      <c r="R52" s="178">
        <v>30000</v>
      </c>
      <c r="S52" s="174"/>
      <c r="T52" s="174"/>
      <c r="U52" s="174"/>
      <c r="V52" s="174"/>
      <c r="W52" s="174"/>
      <c r="X52" s="182">
        <f t="shared" si="4"/>
        <v>137769.11</v>
      </c>
    </row>
    <row r="53" spans="1:24" s="226" customFormat="1" ht="60" customHeight="1">
      <c r="A53" s="133"/>
      <c r="B53" s="159"/>
      <c r="C53" s="137" t="s">
        <v>543</v>
      </c>
      <c r="D53" s="155">
        <f t="shared" si="12"/>
        <v>363795</v>
      </c>
      <c r="E53" s="155"/>
      <c r="F53" s="155">
        <f t="shared" si="13"/>
        <v>363795</v>
      </c>
      <c r="G53" s="155">
        <f>11795+352000</f>
        <v>363795</v>
      </c>
      <c r="H53" s="204">
        <f>11795+333655+5391.71</f>
        <v>350841.71</v>
      </c>
      <c r="I53" s="222"/>
      <c r="J53" s="209">
        <f t="shared" si="8"/>
        <v>96.43939856237716</v>
      </c>
      <c r="K53" s="216"/>
      <c r="L53" s="221">
        <f t="shared" si="3"/>
        <v>12953.289999999979</v>
      </c>
      <c r="M53" s="182">
        <v>11795</v>
      </c>
      <c r="N53" s="182"/>
      <c r="O53" s="182"/>
      <c r="P53" s="182"/>
      <c r="Q53" s="182">
        <v>200000</v>
      </c>
      <c r="R53" s="182">
        <v>152000</v>
      </c>
      <c r="S53" s="182"/>
      <c r="T53" s="182"/>
      <c r="U53" s="182"/>
      <c r="V53" s="182"/>
      <c r="W53" s="182"/>
      <c r="X53" s="182">
        <f t="shared" si="4"/>
        <v>363795</v>
      </c>
    </row>
    <row r="54" spans="1:24" s="131" customFormat="1" ht="56.25" customHeight="1">
      <c r="A54" s="133"/>
      <c r="B54" s="159"/>
      <c r="C54" s="137" t="s">
        <v>396</v>
      </c>
      <c r="D54" s="155">
        <f t="shared" si="12"/>
        <v>118605.17000000004</v>
      </c>
      <c r="E54" s="155"/>
      <c r="F54" s="155">
        <f t="shared" si="13"/>
        <v>118605.17000000004</v>
      </c>
      <c r="G54" s="155">
        <f>108605.17+753000-743000</f>
        <v>118605.17000000004</v>
      </c>
      <c r="H54" s="204">
        <f>108605.17</f>
        <v>108605.17</v>
      </c>
      <c r="I54" s="222"/>
      <c r="J54" s="209">
        <f t="shared" si="8"/>
        <v>91.56866433394092</v>
      </c>
      <c r="K54" s="216"/>
      <c r="L54" s="221">
        <f t="shared" si="3"/>
        <v>10000</v>
      </c>
      <c r="M54" s="202">
        <v>108605.17</v>
      </c>
      <c r="N54" s="174"/>
      <c r="O54" s="174"/>
      <c r="P54" s="174"/>
      <c r="Q54" s="178">
        <v>10000</v>
      </c>
      <c r="R54" s="174"/>
      <c r="S54" s="174"/>
      <c r="T54" s="174"/>
      <c r="U54" s="174"/>
      <c r="V54" s="174"/>
      <c r="W54" s="174"/>
      <c r="X54" s="182">
        <f t="shared" si="4"/>
        <v>118605.17</v>
      </c>
    </row>
    <row r="55" spans="1:24" s="131" customFormat="1" ht="37.5" customHeight="1">
      <c r="A55" s="133"/>
      <c r="B55" s="159"/>
      <c r="C55" s="137" t="s">
        <v>397</v>
      </c>
      <c r="D55" s="155">
        <f t="shared" si="12"/>
        <v>6293.05</v>
      </c>
      <c r="E55" s="155"/>
      <c r="F55" s="155">
        <f t="shared" si="13"/>
        <v>6293.05</v>
      </c>
      <c r="G55" s="155">
        <f>4193.05+2100</f>
        <v>6293.05</v>
      </c>
      <c r="H55" s="204">
        <f>4193.05+2051.95</f>
        <v>6245</v>
      </c>
      <c r="I55" s="222"/>
      <c r="J55" s="209">
        <f t="shared" si="8"/>
        <v>99.23645926855816</v>
      </c>
      <c r="K55" s="216"/>
      <c r="L55" s="221">
        <f t="shared" si="3"/>
        <v>48.05000000000018</v>
      </c>
      <c r="M55" s="202">
        <v>4193.05</v>
      </c>
      <c r="N55" s="174"/>
      <c r="O55" s="174"/>
      <c r="P55" s="178">
        <v>2100</v>
      </c>
      <c r="Q55" s="174"/>
      <c r="R55" s="174"/>
      <c r="S55" s="174"/>
      <c r="T55" s="174"/>
      <c r="U55" s="174"/>
      <c r="V55" s="174"/>
      <c r="W55" s="174"/>
      <c r="X55" s="182">
        <f t="shared" si="4"/>
        <v>6293.05</v>
      </c>
    </row>
    <row r="56" spans="1:24" s="131" customFormat="1" ht="18.75" hidden="1">
      <c r="A56" s="138"/>
      <c r="B56" s="138"/>
      <c r="C56" s="137"/>
      <c r="D56" s="155">
        <f t="shared" si="12"/>
        <v>0</v>
      </c>
      <c r="E56" s="155"/>
      <c r="F56" s="155">
        <f t="shared" si="13"/>
        <v>0</v>
      </c>
      <c r="G56" s="155"/>
      <c r="H56" s="204"/>
      <c r="I56" s="222"/>
      <c r="J56" s="209" t="e">
        <f t="shared" si="8"/>
        <v>#DIV/0!</v>
      </c>
      <c r="K56" s="216"/>
      <c r="L56" s="221">
        <f t="shared" si="3"/>
        <v>0</v>
      </c>
      <c r="M56" s="188"/>
      <c r="N56" s="174"/>
      <c r="O56" s="174"/>
      <c r="P56" s="174"/>
      <c r="Q56" s="174"/>
      <c r="R56" s="174"/>
      <c r="S56" s="174"/>
      <c r="T56" s="174"/>
      <c r="U56" s="174"/>
      <c r="V56" s="174"/>
      <c r="W56" s="174"/>
      <c r="X56" s="182">
        <f t="shared" si="4"/>
        <v>0</v>
      </c>
    </row>
    <row r="57" spans="1:24" s="131" customFormat="1" ht="37.5">
      <c r="A57" s="138"/>
      <c r="B57" s="138"/>
      <c r="C57" s="137" t="s">
        <v>116</v>
      </c>
      <c r="D57" s="155">
        <f t="shared" si="12"/>
        <v>185000</v>
      </c>
      <c r="E57" s="155"/>
      <c r="F57" s="155">
        <f t="shared" si="13"/>
        <v>185000</v>
      </c>
      <c r="G57" s="155">
        <v>185000</v>
      </c>
      <c r="H57" s="204">
        <v>0</v>
      </c>
      <c r="I57" s="222"/>
      <c r="J57" s="209"/>
      <c r="K57" s="216"/>
      <c r="L57" s="221">
        <f t="shared" si="3"/>
        <v>185000</v>
      </c>
      <c r="M57" s="202"/>
      <c r="N57" s="178"/>
      <c r="O57" s="178"/>
      <c r="P57" s="178"/>
      <c r="Q57" s="178">
        <v>185000</v>
      </c>
      <c r="R57" s="178"/>
      <c r="S57" s="178"/>
      <c r="T57" s="178"/>
      <c r="U57" s="178"/>
      <c r="V57" s="178"/>
      <c r="W57" s="178"/>
      <c r="X57" s="182">
        <f t="shared" si="4"/>
        <v>185000</v>
      </c>
    </row>
    <row r="58" spans="1:24" s="131" customFormat="1" ht="25.5" customHeight="1">
      <c r="A58" s="138"/>
      <c r="B58" s="138"/>
      <c r="C58" s="137" t="s">
        <v>398</v>
      </c>
      <c r="D58" s="155">
        <f t="shared" si="12"/>
        <v>200000</v>
      </c>
      <c r="E58" s="155"/>
      <c r="F58" s="155">
        <f t="shared" si="13"/>
        <v>200000</v>
      </c>
      <c r="G58" s="155">
        <f>200000</f>
        <v>200000</v>
      </c>
      <c r="H58" s="204">
        <v>0</v>
      </c>
      <c r="I58" s="222"/>
      <c r="J58" s="209"/>
      <c r="K58" s="216"/>
      <c r="L58" s="221">
        <f t="shared" si="3"/>
        <v>200000</v>
      </c>
      <c r="M58" s="202"/>
      <c r="N58" s="178"/>
      <c r="O58" s="178"/>
      <c r="P58" s="178"/>
      <c r="Q58" s="178"/>
      <c r="R58" s="178"/>
      <c r="S58" s="178">
        <v>100000</v>
      </c>
      <c r="T58" s="178">
        <v>100000</v>
      </c>
      <c r="U58" s="178"/>
      <c r="V58" s="178"/>
      <c r="W58" s="178"/>
      <c r="X58" s="182">
        <f t="shared" si="4"/>
        <v>200000</v>
      </c>
    </row>
    <row r="59" spans="1:24" s="131" customFormat="1" ht="18.75">
      <c r="A59" s="138"/>
      <c r="B59" s="138"/>
      <c r="C59" s="137" t="s">
        <v>399</v>
      </c>
      <c r="D59" s="155">
        <f t="shared" si="12"/>
        <v>5800000</v>
      </c>
      <c r="E59" s="155"/>
      <c r="F59" s="155">
        <f t="shared" si="13"/>
        <v>5800000</v>
      </c>
      <c r="G59" s="155">
        <f>2300000+3500000</f>
        <v>5800000</v>
      </c>
      <c r="H59" s="204">
        <v>12525.6</v>
      </c>
      <c r="I59" s="222"/>
      <c r="J59" s="209">
        <f>H59/(M59+N59+O59+P59+Q59+R59+S59+T59)*100</f>
        <v>0.21595862068965518</v>
      </c>
      <c r="K59" s="216"/>
      <c r="L59" s="221">
        <f t="shared" si="3"/>
        <v>5787474.4</v>
      </c>
      <c r="M59" s="202"/>
      <c r="N59" s="178"/>
      <c r="O59" s="178"/>
      <c r="P59" s="178"/>
      <c r="Q59" s="178">
        <v>760000</v>
      </c>
      <c r="R59" s="178">
        <v>760000</v>
      </c>
      <c r="S59" s="178">
        <f>780000+1750000</f>
        <v>2530000</v>
      </c>
      <c r="T59" s="178">
        <f>1750000</f>
        <v>1750000</v>
      </c>
      <c r="U59" s="178"/>
      <c r="V59" s="178"/>
      <c r="W59" s="178"/>
      <c r="X59" s="182">
        <f t="shared" si="4"/>
        <v>5800000</v>
      </c>
    </row>
    <row r="60" spans="1:24" s="131" customFormat="1" ht="37.5">
      <c r="A60" s="138"/>
      <c r="B60" s="138"/>
      <c r="C60" s="137" t="s">
        <v>400</v>
      </c>
      <c r="D60" s="155">
        <f t="shared" si="12"/>
        <v>100000</v>
      </c>
      <c r="E60" s="155"/>
      <c r="F60" s="155">
        <f t="shared" si="13"/>
        <v>100000</v>
      </c>
      <c r="G60" s="155">
        <v>100000</v>
      </c>
      <c r="H60" s="204">
        <f>1040.4</f>
        <v>1040.4</v>
      </c>
      <c r="I60" s="222"/>
      <c r="J60" s="209">
        <f t="shared" si="8"/>
        <v>1.0404</v>
      </c>
      <c r="K60" s="216"/>
      <c r="L60" s="221">
        <f t="shared" si="3"/>
        <v>98959.6</v>
      </c>
      <c r="M60" s="202"/>
      <c r="N60" s="178"/>
      <c r="O60" s="178"/>
      <c r="P60" s="178"/>
      <c r="Q60" s="178">
        <v>30000</v>
      </c>
      <c r="R60" s="178"/>
      <c r="S60" s="178">
        <v>70000</v>
      </c>
      <c r="T60" s="178"/>
      <c r="U60" s="178"/>
      <c r="V60" s="178"/>
      <c r="W60" s="178"/>
      <c r="X60" s="182">
        <f t="shared" si="4"/>
        <v>100000</v>
      </c>
    </row>
    <row r="61" spans="1:24" s="131" customFormat="1" ht="37.5">
      <c r="A61" s="138"/>
      <c r="B61" s="138"/>
      <c r="C61" s="137" t="s">
        <v>401</v>
      </c>
      <c r="D61" s="155">
        <f t="shared" si="12"/>
        <v>100000</v>
      </c>
      <c r="E61" s="155"/>
      <c r="F61" s="155">
        <f t="shared" si="13"/>
        <v>100000</v>
      </c>
      <c r="G61" s="155">
        <v>100000</v>
      </c>
      <c r="H61" s="204">
        <f>1038</f>
        <v>1038</v>
      </c>
      <c r="I61" s="222"/>
      <c r="J61" s="209">
        <f t="shared" si="8"/>
        <v>1.038</v>
      </c>
      <c r="K61" s="216"/>
      <c r="L61" s="221">
        <f t="shared" si="3"/>
        <v>98962</v>
      </c>
      <c r="M61" s="202"/>
      <c r="N61" s="178"/>
      <c r="O61" s="178"/>
      <c r="P61" s="178"/>
      <c r="Q61" s="178">
        <v>29000</v>
      </c>
      <c r="R61" s="178"/>
      <c r="S61" s="178">
        <v>71000</v>
      </c>
      <c r="T61" s="178"/>
      <c r="U61" s="178"/>
      <c r="V61" s="178"/>
      <c r="W61" s="178"/>
      <c r="X61" s="182">
        <f t="shared" si="4"/>
        <v>100000</v>
      </c>
    </row>
    <row r="62" spans="1:24" s="131" customFormat="1" ht="37.5">
      <c r="A62" s="138"/>
      <c r="B62" s="138"/>
      <c r="C62" s="137" t="s">
        <v>402</v>
      </c>
      <c r="D62" s="155">
        <f t="shared" si="12"/>
        <v>3741000</v>
      </c>
      <c r="E62" s="155"/>
      <c r="F62" s="155">
        <f t="shared" si="13"/>
        <v>3741000</v>
      </c>
      <c r="G62" s="155">
        <f>100000+3641000</f>
        <v>3741000</v>
      </c>
      <c r="H62" s="204">
        <f>1365.6</f>
        <v>1365.6</v>
      </c>
      <c r="I62" s="222"/>
      <c r="J62" s="209">
        <f t="shared" si="8"/>
        <v>0.036503608660785884</v>
      </c>
      <c r="K62" s="216"/>
      <c r="L62" s="221">
        <f t="shared" si="3"/>
        <v>3739634.4</v>
      </c>
      <c r="M62" s="202"/>
      <c r="N62" s="178"/>
      <c r="O62" s="178"/>
      <c r="P62" s="178"/>
      <c r="Q62" s="178">
        <v>10000</v>
      </c>
      <c r="R62" s="178"/>
      <c r="S62" s="178">
        <f>90000+1820500</f>
        <v>1910500</v>
      </c>
      <c r="T62" s="178">
        <f>1820500</f>
        <v>1820500</v>
      </c>
      <c r="U62" s="178"/>
      <c r="V62" s="178"/>
      <c r="W62" s="178"/>
      <c r="X62" s="182">
        <f t="shared" si="4"/>
        <v>3741000</v>
      </c>
    </row>
    <row r="63" spans="1:24" s="131" customFormat="1" ht="37.5">
      <c r="A63" s="138"/>
      <c r="B63" s="138"/>
      <c r="C63" s="137" t="s">
        <v>403</v>
      </c>
      <c r="D63" s="155">
        <f t="shared" si="12"/>
        <v>100000</v>
      </c>
      <c r="E63" s="155"/>
      <c r="F63" s="155">
        <f t="shared" si="13"/>
        <v>100000</v>
      </c>
      <c r="G63" s="155">
        <v>100000</v>
      </c>
      <c r="H63" s="204">
        <f>1004.4</f>
        <v>1004.4</v>
      </c>
      <c r="I63" s="222"/>
      <c r="J63" s="209">
        <f t="shared" si="8"/>
        <v>1.0044</v>
      </c>
      <c r="K63" s="216"/>
      <c r="L63" s="221">
        <f t="shared" si="3"/>
        <v>98995.6</v>
      </c>
      <c r="M63" s="202"/>
      <c r="N63" s="178"/>
      <c r="O63" s="178"/>
      <c r="P63" s="178"/>
      <c r="Q63" s="178">
        <v>55000</v>
      </c>
      <c r="R63" s="178"/>
      <c r="S63" s="178">
        <v>45000</v>
      </c>
      <c r="T63" s="178"/>
      <c r="U63" s="178"/>
      <c r="V63" s="178"/>
      <c r="W63" s="178"/>
      <c r="X63" s="182">
        <f t="shared" si="4"/>
        <v>100000</v>
      </c>
    </row>
    <row r="64" spans="1:24" s="131" customFormat="1" ht="37.5">
      <c r="A64" s="138"/>
      <c r="B64" s="138"/>
      <c r="C64" s="137" t="s">
        <v>404</v>
      </c>
      <c r="D64" s="155">
        <f t="shared" si="12"/>
        <v>2100000</v>
      </c>
      <c r="E64" s="155"/>
      <c r="F64" s="155">
        <f t="shared" si="13"/>
        <v>2100000</v>
      </c>
      <c r="G64" s="155">
        <f>100000+2000000</f>
        <v>2100000</v>
      </c>
      <c r="H64" s="204">
        <f>1239.6</f>
        <v>1239.6</v>
      </c>
      <c r="I64" s="222"/>
      <c r="J64" s="209">
        <f t="shared" si="8"/>
        <v>0.059028571428571416</v>
      </c>
      <c r="K64" s="216"/>
      <c r="L64" s="221">
        <f t="shared" si="3"/>
        <v>2098760.4</v>
      </c>
      <c r="M64" s="202"/>
      <c r="N64" s="178"/>
      <c r="O64" s="178"/>
      <c r="P64" s="178"/>
      <c r="Q64" s="178">
        <v>20000</v>
      </c>
      <c r="R64" s="178"/>
      <c r="S64" s="178">
        <f>80000+1000000</f>
        <v>1080000</v>
      </c>
      <c r="T64" s="178">
        <v>1000000</v>
      </c>
      <c r="U64" s="178"/>
      <c r="V64" s="178"/>
      <c r="W64" s="178"/>
      <c r="X64" s="182">
        <f t="shared" si="4"/>
        <v>2100000</v>
      </c>
    </row>
    <row r="65" spans="1:24" s="131" customFormat="1" ht="37.5">
      <c r="A65" s="138"/>
      <c r="B65" s="138"/>
      <c r="C65" s="137" t="s">
        <v>405</v>
      </c>
      <c r="D65" s="155">
        <f t="shared" si="12"/>
        <v>2958000</v>
      </c>
      <c r="E65" s="155"/>
      <c r="F65" s="155">
        <f t="shared" si="13"/>
        <v>2958000</v>
      </c>
      <c r="G65" s="155">
        <f>100000+2858000</f>
        <v>2958000</v>
      </c>
      <c r="H65" s="204">
        <f>1128</f>
        <v>1128</v>
      </c>
      <c r="I65" s="222"/>
      <c r="J65" s="209">
        <f t="shared" si="8"/>
        <v>0.03813387423935091</v>
      </c>
      <c r="K65" s="216"/>
      <c r="L65" s="221">
        <f t="shared" si="3"/>
        <v>2956872</v>
      </c>
      <c r="M65" s="202"/>
      <c r="N65" s="178"/>
      <c r="O65" s="178"/>
      <c r="P65" s="178"/>
      <c r="Q65" s="178">
        <v>20000</v>
      </c>
      <c r="R65" s="178"/>
      <c r="S65" s="178">
        <f>80000+1429000</f>
        <v>1509000</v>
      </c>
      <c r="T65" s="178">
        <f>1429000</f>
        <v>1429000</v>
      </c>
      <c r="U65" s="178"/>
      <c r="V65" s="178"/>
      <c r="W65" s="178"/>
      <c r="X65" s="182">
        <f t="shared" si="4"/>
        <v>2958000</v>
      </c>
    </row>
    <row r="66" spans="1:24" s="131" customFormat="1" ht="18.75">
      <c r="A66" s="138"/>
      <c r="B66" s="138"/>
      <c r="C66" s="137" t="s">
        <v>406</v>
      </c>
      <c r="D66" s="155">
        <f t="shared" si="12"/>
        <v>200000</v>
      </c>
      <c r="E66" s="155"/>
      <c r="F66" s="155">
        <f t="shared" si="13"/>
        <v>200000</v>
      </c>
      <c r="G66" s="155">
        <v>200000</v>
      </c>
      <c r="H66" s="204">
        <f>9087-5997+1281.6</f>
        <v>4371.6</v>
      </c>
      <c r="I66" s="222"/>
      <c r="J66" s="209">
        <f t="shared" si="8"/>
        <v>2.1858000000000004</v>
      </c>
      <c r="K66" s="216"/>
      <c r="L66" s="221">
        <f t="shared" si="3"/>
        <v>195628.4</v>
      </c>
      <c r="M66" s="202"/>
      <c r="N66" s="178"/>
      <c r="O66" s="178"/>
      <c r="P66" s="178"/>
      <c r="Q66" s="178">
        <v>10000</v>
      </c>
      <c r="R66" s="178"/>
      <c r="S66" s="178">
        <v>190000</v>
      </c>
      <c r="T66" s="178"/>
      <c r="U66" s="178"/>
      <c r="V66" s="178"/>
      <c r="W66" s="178"/>
      <c r="X66" s="182">
        <f t="shared" si="4"/>
        <v>200000</v>
      </c>
    </row>
    <row r="67" spans="1:24" s="131" customFormat="1" ht="18.75">
      <c r="A67" s="138"/>
      <c r="B67" s="138"/>
      <c r="C67" s="137" t="s">
        <v>407</v>
      </c>
      <c r="D67" s="155">
        <f t="shared" si="12"/>
        <v>12893.28</v>
      </c>
      <c r="E67" s="155"/>
      <c r="F67" s="155">
        <f t="shared" si="13"/>
        <v>12893.28</v>
      </c>
      <c r="G67" s="155">
        <v>12893.28</v>
      </c>
      <c r="H67" s="204">
        <v>0</v>
      </c>
      <c r="I67" s="222"/>
      <c r="J67" s="209"/>
      <c r="K67" s="216"/>
      <c r="L67" s="221">
        <f t="shared" si="3"/>
        <v>12893.28</v>
      </c>
      <c r="M67" s="202"/>
      <c r="N67" s="178"/>
      <c r="O67" s="178"/>
      <c r="P67" s="178"/>
      <c r="Q67" s="178"/>
      <c r="R67" s="178"/>
      <c r="S67" s="178"/>
      <c r="T67" s="178">
        <v>12893.28</v>
      </c>
      <c r="U67" s="178"/>
      <c r="V67" s="178"/>
      <c r="W67" s="178"/>
      <c r="X67" s="182">
        <f t="shared" si="4"/>
        <v>12893.28</v>
      </c>
    </row>
    <row r="68" spans="1:24" s="131" customFormat="1" ht="37.5">
      <c r="A68" s="138"/>
      <c r="B68" s="138"/>
      <c r="C68" s="137" t="s">
        <v>408</v>
      </c>
      <c r="D68" s="155">
        <f t="shared" si="12"/>
        <v>114998.6</v>
      </c>
      <c r="E68" s="155"/>
      <c r="F68" s="155">
        <f t="shared" si="13"/>
        <v>114998.6</v>
      </c>
      <c r="G68" s="155">
        <v>114998.6</v>
      </c>
      <c r="H68" s="204">
        <v>0</v>
      </c>
      <c r="I68" s="222"/>
      <c r="J68" s="209"/>
      <c r="K68" s="216"/>
      <c r="L68" s="221">
        <f t="shared" si="3"/>
        <v>114998.6</v>
      </c>
      <c r="M68" s="202"/>
      <c r="N68" s="178"/>
      <c r="O68" s="178"/>
      <c r="P68" s="178"/>
      <c r="Q68" s="178"/>
      <c r="R68" s="178">
        <v>60000</v>
      </c>
      <c r="S68" s="178">
        <v>54998.6</v>
      </c>
      <c r="T68" s="178"/>
      <c r="U68" s="178"/>
      <c r="V68" s="178"/>
      <c r="W68" s="178"/>
      <c r="X68" s="182">
        <f t="shared" si="4"/>
        <v>114998.6</v>
      </c>
    </row>
    <row r="69" spans="1:24" s="131" customFormat="1" ht="37.5">
      <c r="A69" s="138"/>
      <c r="B69" s="138"/>
      <c r="C69" s="137" t="s">
        <v>409</v>
      </c>
      <c r="D69" s="155">
        <f t="shared" si="12"/>
        <v>117496.73</v>
      </c>
      <c r="E69" s="155"/>
      <c r="F69" s="155">
        <f t="shared" si="13"/>
        <v>117496.73</v>
      </c>
      <c r="G69" s="155">
        <v>117496.73</v>
      </c>
      <c r="H69" s="204">
        <v>0</v>
      </c>
      <c r="I69" s="222"/>
      <c r="J69" s="209"/>
      <c r="K69" s="216"/>
      <c r="L69" s="221">
        <f t="shared" si="3"/>
        <v>117496.73000000001</v>
      </c>
      <c r="M69" s="202"/>
      <c r="N69" s="178"/>
      <c r="O69" s="178"/>
      <c r="P69" s="178"/>
      <c r="Q69" s="178"/>
      <c r="R69" s="178">
        <v>60000</v>
      </c>
      <c r="S69" s="178">
        <v>57496.73</v>
      </c>
      <c r="T69" s="178"/>
      <c r="U69" s="178"/>
      <c r="V69" s="178"/>
      <c r="W69" s="178"/>
      <c r="X69" s="182">
        <f t="shared" si="4"/>
        <v>117496.73000000001</v>
      </c>
    </row>
    <row r="70" spans="1:24" s="131" customFormat="1" ht="18.75">
      <c r="A70" s="138"/>
      <c r="B70" s="138"/>
      <c r="C70" s="137" t="s">
        <v>410</v>
      </c>
      <c r="D70" s="155">
        <f t="shared" si="12"/>
        <v>310611.39</v>
      </c>
      <c r="E70" s="155"/>
      <c r="F70" s="155">
        <f t="shared" si="13"/>
        <v>310611.39</v>
      </c>
      <c r="G70" s="155">
        <v>310611.39</v>
      </c>
      <c r="H70" s="204">
        <f>146584.2</f>
        <v>146584.2</v>
      </c>
      <c r="I70" s="222"/>
      <c r="J70" s="209">
        <f t="shared" si="8"/>
        <v>47.192152225969565</v>
      </c>
      <c r="K70" s="216"/>
      <c r="L70" s="221">
        <f t="shared" si="3"/>
        <v>164027.19</v>
      </c>
      <c r="M70" s="202"/>
      <c r="N70" s="178"/>
      <c r="O70" s="178"/>
      <c r="P70" s="178"/>
      <c r="Q70" s="178">
        <v>155000</v>
      </c>
      <c r="R70" s="178">
        <v>155611.39</v>
      </c>
      <c r="S70" s="178"/>
      <c r="T70" s="178"/>
      <c r="U70" s="178"/>
      <c r="V70" s="178"/>
      <c r="W70" s="178"/>
      <c r="X70" s="182">
        <f t="shared" si="4"/>
        <v>310611.39</v>
      </c>
    </row>
    <row r="71" spans="1:24" s="131" customFormat="1" ht="18.75">
      <c r="A71" s="138"/>
      <c r="B71" s="138"/>
      <c r="C71" s="137" t="s">
        <v>411</v>
      </c>
      <c r="D71" s="155">
        <f t="shared" si="12"/>
        <v>100000</v>
      </c>
      <c r="E71" s="155"/>
      <c r="F71" s="155">
        <f t="shared" si="13"/>
        <v>100000</v>
      </c>
      <c r="G71" s="155">
        <v>100000</v>
      </c>
      <c r="H71" s="204">
        <f>1334.4</f>
        <v>1334.4</v>
      </c>
      <c r="I71" s="222"/>
      <c r="J71" s="209">
        <f t="shared" si="8"/>
        <v>1.3344000000000003</v>
      </c>
      <c r="K71" s="216"/>
      <c r="L71" s="221">
        <f t="shared" si="3"/>
        <v>98665.6</v>
      </c>
      <c r="M71" s="202"/>
      <c r="N71" s="178"/>
      <c r="O71" s="178"/>
      <c r="P71" s="178"/>
      <c r="Q71" s="178">
        <v>30000</v>
      </c>
      <c r="R71" s="178"/>
      <c r="S71" s="178">
        <v>70000</v>
      </c>
      <c r="T71" s="178"/>
      <c r="U71" s="178"/>
      <c r="V71" s="178"/>
      <c r="W71" s="178"/>
      <c r="X71" s="182">
        <f t="shared" si="4"/>
        <v>100000</v>
      </c>
    </row>
    <row r="72" spans="1:24" s="131" customFormat="1" ht="37.5">
      <c r="A72" s="138"/>
      <c r="B72" s="138"/>
      <c r="C72" s="137" t="s">
        <v>412</v>
      </c>
      <c r="D72" s="155">
        <f t="shared" si="12"/>
        <v>11780</v>
      </c>
      <c r="E72" s="155"/>
      <c r="F72" s="155">
        <f t="shared" si="13"/>
        <v>11780</v>
      </c>
      <c r="G72" s="155">
        <v>11780</v>
      </c>
      <c r="H72" s="204">
        <v>0</v>
      </c>
      <c r="I72" s="222"/>
      <c r="J72" s="209"/>
      <c r="K72" s="216"/>
      <c r="L72" s="221">
        <f t="shared" si="3"/>
        <v>11780</v>
      </c>
      <c r="M72" s="202"/>
      <c r="N72" s="178"/>
      <c r="O72" s="178"/>
      <c r="P72" s="178">
        <v>11780</v>
      </c>
      <c r="Q72" s="178"/>
      <c r="R72" s="178"/>
      <c r="S72" s="178"/>
      <c r="T72" s="178"/>
      <c r="U72" s="178"/>
      <c r="V72" s="178"/>
      <c r="W72" s="178"/>
      <c r="X72" s="182">
        <f t="shared" si="4"/>
        <v>11780</v>
      </c>
    </row>
    <row r="73" spans="1:24" s="131" customFormat="1" ht="37.5">
      <c r="A73" s="138"/>
      <c r="B73" s="138"/>
      <c r="C73" s="137" t="s">
        <v>413</v>
      </c>
      <c r="D73" s="155">
        <f t="shared" si="12"/>
        <v>123266.74</v>
      </c>
      <c r="E73" s="155"/>
      <c r="F73" s="155">
        <f t="shared" si="13"/>
        <v>123266.74</v>
      </c>
      <c r="G73" s="155">
        <v>123266.74</v>
      </c>
      <c r="H73" s="204">
        <f>54847.2+36835.2+1415.57</f>
        <v>93097.97</v>
      </c>
      <c r="I73" s="222"/>
      <c r="J73" s="209">
        <f t="shared" si="8"/>
        <v>75.52562029303282</v>
      </c>
      <c r="K73" s="216"/>
      <c r="L73" s="221">
        <f t="shared" si="3"/>
        <v>30168.770000000004</v>
      </c>
      <c r="M73" s="202"/>
      <c r="N73" s="178"/>
      <c r="O73" s="178"/>
      <c r="P73" s="178"/>
      <c r="Q73" s="178">
        <v>123266.74</v>
      </c>
      <c r="R73" s="178"/>
      <c r="S73" s="178"/>
      <c r="T73" s="178"/>
      <c r="U73" s="178"/>
      <c r="V73" s="178"/>
      <c r="W73" s="178"/>
      <c r="X73" s="182">
        <f t="shared" si="4"/>
        <v>123266.74</v>
      </c>
    </row>
    <row r="74" spans="1:24" s="131" customFormat="1" ht="37.5">
      <c r="A74" s="138"/>
      <c r="B74" s="138"/>
      <c r="C74" s="137" t="s">
        <v>414</v>
      </c>
      <c r="D74" s="155">
        <f t="shared" si="12"/>
        <v>1151906</v>
      </c>
      <c r="E74" s="155"/>
      <c r="F74" s="155">
        <f t="shared" si="13"/>
        <v>1151906</v>
      </c>
      <c r="G74" s="155">
        <f>416000+735906</f>
        <v>1151906</v>
      </c>
      <c r="H74" s="204">
        <f>14777+174875+355039.6</f>
        <v>544691.6</v>
      </c>
      <c r="I74" s="222"/>
      <c r="J74" s="209">
        <f t="shared" si="8"/>
        <v>47.28611536010751</v>
      </c>
      <c r="K74" s="216"/>
      <c r="L74" s="221">
        <f aca="true" t="shared" si="14" ref="L74:L83">M74+N74+O74+P74+Q74+R74+S74+T74-H74</f>
        <v>607214.4</v>
      </c>
      <c r="M74" s="202"/>
      <c r="N74" s="178"/>
      <c r="O74" s="178"/>
      <c r="P74" s="178">
        <v>20000</v>
      </c>
      <c r="Q74" s="178">
        <v>200000</v>
      </c>
      <c r="R74" s="178">
        <v>100000</v>
      </c>
      <c r="S74" s="178">
        <f>96000+367953</f>
        <v>463953</v>
      </c>
      <c r="T74" s="178">
        <v>367953</v>
      </c>
      <c r="U74" s="178"/>
      <c r="V74" s="178"/>
      <c r="W74" s="178"/>
      <c r="X74" s="182">
        <f t="shared" si="4"/>
        <v>1151906</v>
      </c>
    </row>
    <row r="75" spans="1:24" s="131" customFormat="1" ht="37.5">
      <c r="A75" s="138"/>
      <c r="B75" s="138"/>
      <c r="C75" s="137" t="s">
        <v>415</v>
      </c>
      <c r="D75" s="155">
        <f t="shared" si="12"/>
        <v>8137.29</v>
      </c>
      <c r="E75" s="155"/>
      <c r="F75" s="155">
        <f t="shared" si="13"/>
        <v>8137.29</v>
      </c>
      <c r="G75" s="155">
        <v>8137.29</v>
      </c>
      <c r="H75" s="204">
        <v>0</v>
      </c>
      <c r="I75" s="222"/>
      <c r="J75" s="209"/>
      <c r="K75" s="216"/>
      <c r="L75" s="221">
        <f t="shared" si="14"/>
        <v>8137.29</v>
      </c>
      <c r="M75" s="202"/>
      <c r="N75" s="178"/>
      <c r="O75" s="178"/>
      <c r="P75" s="178">
        <v>8137.29</v>
      </c>
      <c r="Q75" s="178"/>
      <c r="R75" s="178"/>
      <c r="S75" s="178"/>
      <c r="T75" s="178"/>
      <c r="U75" s="178"/>
      <c r="V75" s="178"/>
      <c r="W75" s="178"/>
      <c r="X75" s="182">
        <f>SUM(M75:W75)</f>
        <v>8137.29</v>
      </c>
    </row>
    <row r="76" spans="1:24" s="131" customFormat="1" ht="37.5">
      <c r="A76" s="138"/>
      <c r="B76" s="138"/>
      <c r="C76" s="137" t="s">
        <v>416</v>
      </c>
      <c r="D76" s="155">
        <f t="shared" si="12"/>
        <v>49765.37</v>
      </c>
      <c r="E76" s="155"/>
      <c r="F76" s="155">
        <f t="shared" si="13"/>
        <v>49765.37</v>
      </c>
      <c r="G76" s="155">
        <v>49765.37</v>
      </c>
      <c r="H76" s="204">
        <v>0</v>
      </c>
      <c r="I76" s="222"/>
      <c r="J76" s="209"/>
      <c r="K76" s="216"/>
      <c r="L76" s="221">
        <f t="shared" si="14"/>
        <v>49765.37</v>
      </c>
      <c r="M76" s="202"/>
      <c r="N76" s="178"/>
      <c r="O76" s="178"/>
      <c r="P76" s="178">
        <v>49765.37</v>
      </c>
      <c r="Q76" s="178"/>
      <c r="R76" s="178"/>
      <c r="S76" s="178"/>
      <c r="T76" s="178"/>
      <c r="U76" s="178"/>
      <c r="V76" s="178"/>
      <c r="W76" s="178"/>
      <c r="X76" s="182">
        <f>SUM(M76:W76)</f>
        <v>49765.37</v>
      </c>
    </row>
    <row r="77" spans="1:24" s="131" customFormat="1" ht="37.5">
      <c r="A77" s="138"/>
      <c r="B77" s="138"/>
      <c r="C77" s="137" t="s">
        <v>417</v>
      </c>
      <c r="D77" s="155">
        <f t="shared" si="12"/>
        <v>109814.8</v>
      </c>
      <c r="E77" s="155"/>
      <c r="F77" s="155">
        <f t="shared" si="13"/>
        <v>109814.8</v>
      </c>
      <c r="G77" s="155">
        <v>109814.8</v>
      </c>
      <c r="H77" s="204">
        <v>0</v>
      </c>
      <c r="I77" s="222"/>
      <c r="J77" s="209"/>
      <c r="K77" s="216"/>
      <c r="L77" s="221">
        <f t="shared" si="14"/>
        <v>109814.8</v>
      </c>
      <c r="M77" s="202"/>
      <c r="N77" s="178"/>
      <c r="O77" s="178"/>
      <c r="P77" s="178"/>
      <c r="Q77" s="178">
        <v>90000</v>
      </c>
      <c r="R77" s="178">
        <v>19814.8</v>
      </c>
      <c r="S77" s="178"/>
      <c r="T77" s="178"/>
      <c r="U77" s="178"/>
      <c r="V77" s="178"/>
      <c r="W77" s="178"/>
      <c r="X77" s="182">
        <f>SUM(M77:W77)</f>
        <v>109814.8</v>
      </c>
    </row>
    <row r="78" spans="1:24" s="131" customFormat="1" ht="37.5">
      <c r="A78" s="138"/>
      <c r="B78" s="138"/>
      <c r="C78" s="137" t="s">
        <v>418</v>
      </c>
      <c r="D78" s="155">
        <f t="shared" si="12"/>
        <v>412059.78</v>
      </c>
      <c r="E78" s="155"/>
      <c r="F78" s="155">
        <f t="shared" si="13"/>
        <v>412059.78</v>
      </c>
      <c r="G78" s="155">
        <v>412059.78</v>
      </c>
      <c r="H78" s="204">
        <v>0</v>
      </c>
      <c r="I78" s="222"/>
      <c r="J78" s="209"/>
      <c r="K78" s="216"/>
      <c r="L78" s="221">
        <f t="shared" si="14"/>
        <v>412059.78</v>
      </c>
      <c r="M78" s="202"/>
      <c r="N78" s="178"/>
      <c r="O78" s="178"/>
      <c r="P78" s="178">
        <v>100000</v>
      </c>
      <c r="Q78" s="178">
        <v>200000</v>
      </c>
      <c r="R78" s="178">
        <v>112059.78</v>
      </c>
      <c r="S78" s="178"/>
      <c r="T78" s="178"/>
      <c r="U78" s="178"/>
      <c r="V78" s="178"/>
      <c r="W78" s="178"/>
      <c r="X78" s="182">
        <f>SUM(M78:W78)</f>
        <v>412059.78</v>
      </c>
    </row>
    <row r="79" spans="1:24" s="131" customFormat="1" ht="37.5">
      <c r="A79" s="138"/>
      <c r="B79" s="138"/>
      <c r="C79" s="137" t="s">
        <v>419</v>
      </c>
      <c r="D79" s="155">
        <f t="shared" si="12"/>
        <v>134000</v>
      </c>
      <c r="E79" s="155"/>
      <c r="F79" s="155">
        <f t="shared" si="13"/>
        <v>134000</v>
      </c>
      <c r="G79" s="155">
        <v>134000</v>
      </c>
      <c r="H79" s="204">
        <f>4785.73</f>
        <v>4785.73</v>
      </c>
      <c r="I79" s="222"/>
      <c r="J79" s="209">
        <f t="shared" si="8"/>
        <v>3.5714402985074627</v>
      </c>
      <c r="K79" s="216"/>
      <c r="L79" s="221">
        <f t="shared" si="14"/>
        <v>129214.27</v>
      </c>
      <c r="M79" s="202"/>
      <c r="N79" s="178"/>
      <c r="O79" s="178"/>
      <c r="P79" s="178"/>
      <c r="Q79" s="178"/>
      <c r="R79" s="178">
        <v>30000</v>
      </c>
      <c r="S79" s="178">
        <v>50000</v>
      </c>
      <c r="T79" s="178">
        <v>54000</v>
      </c>
      <c r="U79" s="178"/>
      <c r="V79" s="178"/>
      <c r="W79" s="178"/>
      <c r="X79" s="182">
        <f>SUM(M79:W79)</f>
        <v>134000</v>
      </c>
    </row>
    <row r="80" spans="1:24" s="131" customFormat="1" ht="37.5">
      <c r="A80" s="138"/>
      <c r="B80" s="138"/>
      <c r="C80" s="137" t="s">
        <v>420</v>
      </c>
      <c r="D80" s="155">
        <f t="shared" si="12"/>
        <v>80000</v>
      </c>
      <c r="E80" s="155"/>
      <c r="F80" s="155">
        <f t="shared" si="13"/>
        <v>80000</v>
      </c>
      <c r="G80" s="155">
        <v>80000</v>
      </c>
      <c r="H80" s="204">
        <v>0</v>
      </c>
      <c r="I80" s="222"/>
      <c r="J80" s="209"/>
      <c r="K80" s="216"/>
      <c r="L80" s="221">
        <f t="shared" si="14"/>
        <v>80000</v>
      </c>
      <c r="M80" s="202"/>
      <c r="N80" s="178"/>
      <c r="O80" s="178"/>
      <c r="P80" s="178"/>
      <c r="Q80" s="178">
        <v>80000</v>
      </c>
      <c r="R80" s="178"/>
      <c r="S80" s="178"/>
      <c r="T80" s="178"/>
      <c r="U80" s="178"/>
      <c r="V80" s="178"/>
      <c r="W80" s="178"/>
      <c r="X80" s="182">
        <f>SUM(M80:W80)</f>
        <v>80000</v>
      </c>
    </row>
    <row r="81" spans="1:24" s="131" customFormat="1" ht="18.75">
      <c r="A81" s="138"/>
      <c r="B81" s="138"/>
      <c r="C81" s="137" t="s">
        <v>257</v>
      </c>
      <c r="D81" s="155">
        <f t="shared" si="12"/>
        <v>300000</v>
      </c>
      <c r="E81" s="155"/>
      <c r="F81" s="155">
        <f t="shared" si="13"/>
        <v>300000</v>
      </c>
      <c r="G81" s="155">
        <v>300000</v>
      </c>
      <c r="H81" s="204">
        <f>48143.1</f>
        <v>48143.1</v>
      </c>
      <c r="I81" s="222"/>
      <c r="J81" s="209">
        <f t="shared" si="8"/>
        <v>16.047700000000003</v>
      </c>
      <c r="K81" s="216"/>
      <c r="L81" s="221">
        <f t="shared" si="14"/>
        <v>251856.9</v>
      </c>
      <c r="M81" s="202"/>
      <c r="N81" s="178"/>
      <c r="O81" s="178"/>
      <c r="P81" s="178"/>
      <c r="Q81" s="178"/>
      <c r="R81" s="178">
        <v>100000</v>
      </c>
      <c r="S81" s="178">
        <v>100000</v>
      </c>
      <c r="T81" s="178">
        <v>100000</v>
      </c>
      <c r="U81" s="178"/>
      <c r="V81" s="178"/>
      <c r="W81" s="178"/>
      <c r="X81" s="182">
        <f>SUM(M81:W81)</f>
        <v>300000</v>
      </c>
    </row>
    <row r="82" spans="1:24" s="131" customFormat="1" ht="37.5">
      <c r="A82" s="138"/>
      <c r="B82" s="138"/>
      <c r="C82" s="137" t="s">
        <v>421</v>
      </c>
      <c r="D82" s="155">
        <f t="shared" si="12"/>
        <v>380000</v>
      </c>
      <c r="E82" s="155"/>
      <c r="F82" s="155">
        <f t="shared" si="13"/>
        <v>380000</v>
      </c>
      <c r="G82" s="155">
        <v>380000</v>
      </c>
      <c r="H82" s="204">
        <v>0</v>
      </c>
      <c r="I82" s="222"/>
      <c r="J82" s="209"/>
      <c r="K82" s="216"/>
      <c r="L82" s="221">
        <f t="shared" si="14"/>
        <v>270000</v>
      </c>
      <c r="M82" s="202"/>
      <c r="N82" s="178"/>
      <c r="O82" s="178"/>
      <c r="P82" s="178"/>
      <c r="Q82" s="178"/>
      <c r="R82" s="178">
        <v>50000</v>
      </c>
      <c r="S82" s="178">
        <v>110000</v>
      </c>
      <c r="T82" s="178">
        <v>110000</v>
      </c>
      <c r="U82" s="178">
        <v>110000</v>
      </c>
      <c r="V82" s="178"/>
      <c r="W82" s="178"/>
      <c r="X82" s="182">
        <f>SUM(M82:W82)</f>
        <v>380000</v>
      </c>
    </row>
    <row r="83" spans="1:24" ht="18.75">
      <c r="A83" s="164"/>
      <c r="B83" s="169"/>
      <c r="C83" s="165" t="s">
        <v>266</v>
      </c>
      <c r="D83" s="152">
        <f>D7+D39+D36</f>
        <v>56282747.27</v>
      </c>
      <c r="E83" s="152">
        <f>E7+E39+E36</f>
        <v>13200000</v>
      </c>
      <c r="F83" s="152">
        <f>F7+F39+F36</f>
        <v>43082747.27</v>
      </c>
      <c r="G83" s="152">
        <f>G7+G39+G36</f>
        <v>39363973.62000001</v>
      </c>
      <c r="H83" s="175">
        <f>H7+H39+H36</f>
        <v>12774449.129999999</v>
      </c>
      <c r="I83" s="175"/>
      <c r="J83" s="227">
        <f t="shared" si="8"/>
        <v>26.102791636362777</v>
      </c>
      <c r="K83" s="218"/>
      <c r="L83" s="220">
        <f t="shared" si="14"/>
        <v>36164565.93000001</v>
      </c>
      <c r="M83" s="192">
        <f aca="true" t="shared" si="15" ref="M83:X83">M7+M39+M36</f>
        <v>2859888.08</v>
      </c>
      <c r="N83" s="152">
        <f t="shared" si="15"/>
        <v>450000</v>
      </c>
      <c r="O83" s="152">
        <f t="shared" si="15"/>
        <v>1900000</v>
      </c>
      <c r="P83" s="152">
        <f t="shared" si="15"/>
        <v>4926782.66</v>
      </c>
      <c r="Q83" s="152">
        <f t="shared" si="15"/>
        <v>4991645.949999999</v>
      </c>
      <c r="R83" s="152">
        <f t="shared" si="15"/>
        <v>5508135.970000001</v>
      </c>
      <c r="S83" s="152">
        <f t="shared" si="15"/>
        <v>13867948.33</v>
      </c>
      <c r="T83" s="152">
        <f t="shared" si="15"/>
        <v>14434614.07</v>
      </c>
      <c r="U83" s="152">
        <f t="shared" si="15"/>
        <v>5119732.21</v>
      </c>
      <c r="V83" s="152">
        <f t="shared" si="15"/>
        <v>1800000</v>
      </c>
      <c r="W83" s="152">
        <f t="shared" si="15"/>
        <v>424000</v>
      </c>
      <c r="X83" s="152">
        <f t="shared" si="15"/>
        <v>56282747.27</v>
      </c>
    </row>
    <row r="84" spans="1:6" ht="18.75">
      <c r="A84" s="144"/>
      <c r="B84" s="139"/>
      <c r="C84" s="166"/>
      <c r="D84" s="167"/>
      <c r="E84" s="139"/>
      <c r="F84" s="139"/>
    </row>
    <row r="85" spans="1:6" ht="18.75">
      <c r="A85" s="139"/>
      <c r="B85" s="140"/>
      <c r="C85" s="141"/>
      <c r="D85" s="142"/>
      <c r="E85" s="140"/>
      <c r="F85" s="139"/>
    </row>
    <row r="86" spans="1:7" ht="33" customHeight="1">
      <c r="A86" s="268"/>
      <c r="B86" s="268"/>
      <c r="C86" s="268"/>
      <c r="D86" s="145"/>
      <c r="E86" s="145"/>
      <c r="F86" s="145"/>
      <c r="G86" s="145"/>
    </row>
  </sheetData>
  <sheetProtection/>
  <mergeCells count="13">
    <mergeCell ref="A86:C86"/>
    <mergeCell ref="A4:A5"/>
    <mergeCell ref="C4:C5"/>
    <mergeCell ref="D4:D5"/>
    <mergeCell ref="A35:J35"/>
    <mergeCell ref="A6:J6"/>
    <mergeCell ref="J4:J5"/>
    <mergeCell ref="I4:I5"/>
    <mergeCell ref="A1:H1"/>
    <mergeCell ref="A2:H2"/>
    <mergeCell ref="H4:H5"/>
    <mergeCell ref="E4:E5"/>
    <mergeCell ref="F4:F5"/>
  </mergeCells>
  <printOptions/>
  <pageMargins left="0.23" right="0.17" top="0.29" bottom="0.17" header="0.22" footer="0.16"/>
  <pageSetup fitToHeight="2" horizontalDpi="600" verticalDpi="600" orientation="landscape" paperSize="9" scale="5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cp:lastModifiedBy>
  <cp:lastPrinted>2015-08-20T05:42:48Z</cp:lastPrinted>
  <dcterms:created xsi:type="dcterms:W3CDTF">2014-01-17T10:52:16Z</dcterms:created>
  <dcterms:modified xsi:type="dcterms:W3CDTF">2015-09-10T13:55:05Z</dcterms:modified>
  <cp:category/>
  <cp:version/>
  <cp:contentType/>
  <cp:contentStatus/>
</cp:coreProperties>
</file>